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claudenirscalzer/Desktop/Contabilização/"/>
    </mc:Choice>
  </mc:AlternateContent>
  <xr:revisionPtr revIDLastSave="0" documentId="13_ncr:1_{6262920C-2BA6-1A46-B34C-9B73BAA564F4}" xr6:coauthVersionLast="36" xr6:coauthVersionMax="45" xr10:uidLastSave="{00000000-0000-0000-0000-000000000000}"/>
  <bookViews>
    <workbookView xWindow="0" yWindow="460" windowWidth="33600" windowHeight="19620" xr2:uid="{B9C4ED51-4E7F-4209-8529-91CD817A1F87}"/>
  </bookViews>
  <sheets>
    <sheet name="Encomenda e Própria" sheetId="3" r:id="rId1"/>
    <sheet name="CO - Trading" sheetId="5" r:id="rId2"/>
    <sheet name="CO - Visão Cliente da Trading"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2" i="5" l="1"/>
  <c r="O75" i="5"/>
  <c r="O74" i="5" s="1"/>
  <c r="Q58" i="3"/>
  <c r="A9" i="3"/>
  <c r="D100" i="3"/>
  <c r="I65" i="3"/>
  <c r="G65" i="3"/>
  <c r="I66" i="3" s="1"/>
  <c r="I59" i="3"/>
  <c r="D101" i="3"/>
  <c r="D99" i="3" s="1"/>
  <c r="D98" i="3" s="1"/>
  <c r="F62" i="3"/>
  <c r="F61" i="3"/>
  <c r="F60" i="3"/>
  <c r="F59" i="3"/>
  <c r="H58" i="3"/>
  <c r="D93" i="3"/>
  <c r="D94" i="3"/>
  <c r="D92" i="3"/>
  <c r="D96" i="3"/>
  <c r="D90" i="3"/>
  <c r="A34" i="3"/>
  <c r="H51" i="3"/>
  <c r="H21" i="3"/>
  <c r="F21" i="3"/>
  <c r="H15" i="3"/>
  <c r="F15" i="3"/>
  <c r="F9" i="3"/>
  <c r="H9" i="3"/>
  <c r="O63" i="3"/>
  <c r="D91" i="3" l="1"/>
  <c r="D95" i="3" s="1"/>
  <c r="D97" i="3" s="1"/>
  <c r="D102" i="3" s="1"/>
  <c r="O47" i="5"/>
  <c r="O48" i="5" s="1"/>
  <c r="O59" i="5"/>
  <c r="O31" i="5"/>
  <c r="O32" i="5"/>
  <c r="O44" i="5" s="1"/>
  <c r="O30" i="5" l="1"/>
  <c r="O41" i="5" s="1"/>
  <c r="O40" i="5" s="1"/>
  <c r="L23" i="1"/>
  <c r="O63" i="5" l="1"/>
  <c r="O64" i="5" s="1"/>
  <c r="O22" i="5"/>
  <c r="O21" i="5"/>
  <c r="O60" i="5"/>
  <c r="O8" i="3"/>
  <c r="O7" i="3"/>
  <c r="O23" i="5" l="1"/>
  <c r="O12" i="3"/>
  <c r="O27" i="3"/>
  <c r="O36" i="3"/>
  <c r="O35" i="3"/>
  <c r="O25" i="3"/>
  <c r="O11" i="3"/>
  <c r="O4" i="3"/>
  <c r="O3" i="3"/>
  <c r="O26" i="3" l="1"/>
  <c r="O46" i="3" s="1"/>
  <c r="O45" i="3" s="1"/>
  <c r="O61" i="3" s="1"/>
  <c r="O60" i="3" s="1"/>
  <c r="O13" i="3"/>
  <c r="O37" i="3"/>
  <c r="O58" i="3" l="1"/>
  <c r="O85" i="3"/>
  <c r="O86" i="3" s="1"/>
  <c r="L35" i="1"/>
  <c r="O7" i="1"/>
  <c r="L14" i="1"/>
  <c r="O5" i="1" s="1"/>
  <c r="L9" i="1"/>
  <c r="L8" i="1"/>
  <c r="O64" i="3" l="1"/>
  <c r="O66" i="3"/>
  <c r="O67" i="3" s="1"/>
  <c r="O59" i="3"/>
  <c r="O80" i="3"/>
  <c r="O81" i="3" s="1"/>
  <c r="O65" i="3"/>
  <c r="O10" i="1"/>
  <c r="O15" i="1" s="1"/>
  <c r="O16" i="1" l="1"/>
  <c r="O18" i="1"/>
  <c r="L24" i="1" s="1"/>
  <c r="O17" i="1"/>
  <c r="L22" i="1" s="1"/>
  <c r="O67" i="5"/>
  <c r="O68" i="5" s="1"/>
  <c r="L21" i="1" l="1"/>
  <c r="L26" i="1" s="1"/>
  <c r="O71" i="5"/>
  <c r="O78" i="5" s="1"/>
  <c r="O79" i="5" s="1"/>
</calcChain>
</file>

<file path=xl/sharedStrings.xml><?xml version="1.0" encoding="utf-8"?>
<sst xmlns="http://schemas.openxmlformats.org/spreadsheetml/2006/main" count="339" uniqueCount="240">
  <si>
    <t>Adiantamento a Fornecedores</t>
  </si>
  <si>
    <t>a) R$ 100.000,00</t>
  </si>
  <si>
    <t xml:space="preserve">Bancos Conta Movimento </t>
  </si>
  <si>
    <t xml:space="preserve">Importação em Andamento </t>
  </si>
  <si>
    <t xml:space="preserve">C- Bancos conta movimento </t>
  </si>
  <si>
    <t>b) Lançamento invoice PO XPTO USD 111.000,00, taxa ptax R$ 4,50</t>
  </si>
  <si>
    <t>D- Importação em Andamento (ativo circulante)</t>
  </si>
  <si>
    <t>D- Adiantamento a Fornecedores (ativo circulante)</t>
  </si>
  <si>
    <t>C- Bancos conta movimento (ativo circulante)</t>
  </si>
  <si>
    <t xml:space="preserve">Fornecedores no Exterior a Pagar </t>
  </si>
  <si>
    <t>b) R$ 499.500,00</t>
  </si>
  <si>
    <t>c) Pagamento do câmbio conf. Invioce USD 111.000, taxa fechamento R$ 4,80 totalizando R$ 532.800</t>
  </si>
  <si>
    <t>C- Fornecedores no exterior a pagar (passivo circulante)</t>
  </si>
  <si>
    <t>D- Fornecedores no exterior a pagar (passivo circulante)</t>
  </si>
  <si>
    <t>C- Bancos conta movimento  (ativo circulante)</t>
  </si>
  <si>
    <t>c) 499.500,00</t>
  </si>
  <si>
    <t>c) R$ 33.300,00</t>
  </si>
  <si>
    <t>c) R$ 532.800,00</t>
  </si>
  <si>
    <t>D- Importação em andamento (valor da variação cambial, pois a mercadoria ainda não foi nacionalizada)</t>
  </si>
  <si>
    <t xml:space="preserve">D- Importação em Andamento </t>
  </si>
  <si>
    <t>d) R$  150.000,00</t>
  </si>
  <si>
    <t xml:space="preserve">Câmbio </t>
  </si>
  <si>
    <t xml:space="preserve">Impostos DI </t>
  </si>
  <si>
    <t>Despesas aduaneiras</t>
  </si>
  <si>
    <t>Composição da NF-e da Trading (ICMS entrada diferido)</t>
  </si>
  <si>
    <t>Valor da NF-e entrada</t>
  </si>
  <si>
    <t>Nota Fiscal de Remessa do Cliente, ICMS 4%</t>
  </si>
  <si>
    <t xml:space="preserve">Vlr NF-e entrada </t>
  </si>
  <si>
    <t xml:space="preserve">ICMS Alíquota 4% </t>
  </si>
  <si>
    <t>Valor da NF-e de Remessa (fator 0,96)</t>
  </si>
  <si>
    <t xml:space="preserve">e) Recebimento da mercadoria da trading, NF-e valor de R$ 825.833,33, desconto de 25% do valor do ICMS. </t>
  </si>
  <si>
    <t xml:space="preserve">D- Estoque de mercadorias </t>
  </si>
  <si>
    <t>C- Importação em Andamento (despesas que fizeram a composição da NF-e)</t>
  </si>
  <si>
    <t xml:space="preserve">D- ICMS a recuperar </t>
  </si>
  <si>
    <t>e) R$ 682.000,00</t>
  </si>
  <si>
    <t>f) Encontro de contas do adiantamento do cliente de R$ 100.000,00</t>
  </si>
  <si>
    <t xml:space="preserve">C- Adiantamento a Fornecedores </t>
  </si>
  <si>
    <t>f) R$ 100.000,00</t>
  </si>
  <si>
    <t>g) Pagamento do ICMS com desconto de 25% (25% x R$ 32.616,67= R$ 8.154,17)</t>
  </si>
  <si>
    <t xml:space="preserve">C- Descontos Obtidos (Resultado - podendo ser classificado no grupo de custos (em função da associação do desconto com a operação ou no grupo de receitas financeiras) </t>
  </si>
  <si>
    <t xml:space="preserve">C- Bancos conta movimento  </t>
  </si>
  <si>
    <t>d) R$ 150.000,00</t>
  </si>
  <si>
    <t>Descontos Obtidos (Resultado)</t>
  </si>
  <si>
    <t>g) R$ 24.462,50</t>
  </si>
  <si>
    <t>g) 32.616,67</t>
  </si>
  <si>
    <t>g) R$ 8.154,17</t>
  </si>
  <si>
    <t>Estoque de Mercadorias (AC)</t>
  </si>
  <si>
    <t>ICMS a Recuperar</t>
  </si>
  <si>
    <t>a) Adiantamento Cambio para Exportador no valor de u$ 50.000, taxa fechametno de R$ 4,70</t>
  </si>
  <si>
    <t>D-Importação em Andamento</t>
  </si>
  <si>
    <t>D-Adiantamento Fornecedor no Exterior</t>
  </si>
  <si>
    <t>C-Bancos conta movimento</t>
  </si>
  <si>
    <t>C-Fornecedor no Exterior</t>
  </si>
  <si>
    <t>D-Fornecedor no Exterior</t>
  </si>
  <si>
    <t>b) Emissão Fatura Invoice pelo Exportador USD 111.000,00, taxa ptax R$ 4,50</t>
  </si>
  <si>
    <t>d) Adiantamento para Despachante pgto depesas aduaneiras</t>
  </si>
  <si>
    <t>C-Adiantamento Fornecedor no Exterior</t>
  </si>
  <si>
    <t>e) Registro da DI com o pagamento dos impostos no valor total de R$ 150.000,00</t>
  </si>
  <si>
    <t>f) Fechamento total do Câmbio com taxa de R$ 4,80</t>
  </si>
  <si>
    <t>D-Fornecedor Exterior</t>
  </si>
  <si>
    <t>C-Fornecedor  Nacional</t>
  </si>
  <si>
    <t>g) Prestação de contas do despachante de R$ 55.000,00</t>
  </si>
  <si>
    <t>h) Pagamento ao Despachante</t>
  </si>
  <si>
    <t>D-Fornecedor Nacional</t>
  </si>
  <si>
    <t>C-Banco Conta Movimento</t>
  </si>
  <si>
    <t>C-Fornecedor Nacional</t>
  </si>
  <si>
    <t>D-Adiantamento Fornecedor Nacional</t>
  </si>
  <si>
    <t>C-Adiantamento Fornecedor Nacional</t>
  </si>
  <si>
    <t>D-Estoque</t>
  </si>
  <si>
    <t>C-Importação em Andamento</t>
  </si>
  <si>
    <t>C-IPI a Recuperar</t>
  </si>
  <si>
    <t>a) Adiantamento ao fornecedor Trading para custeio de despesas com importação de R$ 100.000,00</t>
  </si>
  <si>
    <t xml:space="preserve">D- Fornecedores Nacionais (Trading) </t>
  </si>
  <si>
    <t>i) Provisão de algumas despesas diretamente pelo Importador</t>
  </si>
  <si>
    <t>j) Emissão Nota Fiscal de Entrada</t>
  </si>
  <si>
    <t>a) R$ 235.000,00</t>
  </si>
  <si>
    <t>Importação em Andamento</t>
  </si>
  <si>
    <t>c) R$ 10.000,00</t>
  </si>
  <si>
    <t>Adiantamento Fornecedor Nacional</t>
  </si>
  <si>
    <t>d) R$ 50.000,00</t>
  </si>
  <si>
    <t>C-Banco conta movimento</t>
  </si>
  <si>
    <t>f) R$ 18.300,00</t>
  </si>
  <si>
    <t>c) R$ 235.000,00</t>
  </si>
  <si>
    <t>e) R$ 150.000,00</t>
  </si>
  <si>
    <t>f) R$ 292.800,00</t>
  </si>
  <si>
    <t>c) R$ 225.000,00</t>
  </si>
  <si>
    <t>f) R$ 274.500,00</t>
  </si>
  <si>
    <t>g) R$ 55.000,00</t>
  </si>
  <si>
    <t>Fornecedor Nacional</t>
  </si>
  <si>
    <t>h) R$ 55.000,00</t>
  </si>
  <si>
    <t>h) R$ 5.000,00</t>
  </si>
  <si>
    <t>h) R$ 50.000,00</t>
  </si>
  <si>
    <t>i) R$ 7.000,00</t>
  </si>
  <si>
    <t>Estoque</t>
  </si>
  <si>
    <t>IPI a Recuperar</t>
  </si>
  <si>
    <t>j) R$ 45.000,00</t>
  </si>
  <si>
    <t>k) R$ 30.000,00</t>
  </si>
  <si>
    <t>k) Provisionamento de Despesas de importacão complementares</t>
  </si>
  <si>
    <t>l) Emissão Nota Fiscal de Saída</t>
  </si>
  <si>
    <t>m) Pagamento fornecedores nacionais</t>
  </si>
  <si>
    <t>D-Clientes</t>
  </si>
  <si>
    <t>C-Estoque</t>
  </si>
  <si>
    <t>C-IPI a Recolher</t>
  </si>
  <si>
    <t>C-ICMS a Recolher</t>
  </si>
  <si>
    <t>C-PIS/COFINS a Recuperar</t>
  </si>
  <si>
    <t>PIS/COFINS a Recuperar</t>
  </si>
  <si>
    <t>j) R$ 15.000,00</t>
  </si>
  <si>
    <t>C-PIS/COFINS a Recolher</t>
  </si>
  <si>
    <t>Clientes</t>
  </si>
  <si>
    <t>IPI a Recolher</t>
  </si>
  <si>
    <t>l) R$ 51.000,00</t>
  </si>
  <si>
    <t>ICMS a Recolher</t>
  </si>
  <si>
    <t>PIS/COFINS a Recolher</t>
  </si>
  <si>
    <t>l) R$ 45.000,00</t>
  </si>
  <si>
    <t>m) R$ 7.000,00</t>
  </si>
  <si>
    <t>C-Receita Encomenda</t>
  </si>
  <si>
    <t>D-CMV Encomenda</t>
  </si>
  <si>
    <t>o) Desconto concedidos</t>
  </si>
  <si>
    <t>D-Descontos Concedidos</t>
  </si>
  <si>
    <t>C-Clientes</t>
  </si>
  <si>
    <t>Descontos Concedidos</t>
  </si>
  <si>
    <t>o) R$ 5.000,00</t>
  </si>
  <si>
    <t>p) Ganho do benefício Fiscal</t>
  </si>
  <si>
    <t>D-ICMS a Recolher</t>
  </si>
  <si>
    <t>C-Receita Benefício Fiscal</t>
  </si>
  <si>
    <t>Receita Beneficio Fiscal</t>
  </si>
  <si>
    <t>p) R$ 30.000,00</t>
  </si>
  <si>
    <t>q) recebimento clientes</t>
  </si>
  <si>
    <t>D-Banco conta movimento</t>
  </si>
  <si>
    <t>a) Recebimento Adto do Cliente</t>
  </si>
  <si>
    <t>D-Bancos conta movimento</t>
  </si>
  <si>
    <t>C-Adiantamento de Clientes</t>
  </si>
  <si>
    <t>Adiantamento de Clientes</t>
  </si>
  <si>
    <t>Despesas pagas pelo Cliente</t>
  </si>
  <si>
    <t>C- Despesas pagar pelo cliente</t>
  </si>
  <si>
    <t>i) Provisão de algumas despesas diretamente pela Trading</t>
  </si>
  <si>
    <t>D-Despesas pagas pelo cliente</t>
  </si>
  <si>
    <t>r) Permuta de clientes - Adto</t>
  </si>
  <si>
    <t>D-Adiantamento de Clientes</t>
  </si>
  <si>
    <t>a) R$ 60.000,00</t>
  </si>
  <si>
    <t>r) R$ 60.000,00</t>
  </si>
  <si>
    <t>r)  R$ 60.000,00</t>
  </si>
  <si>
    <t>s) recebimento clientes ref NF Mercadorias</t>
  </si>
  <si>
    <t>t) Emissão NF Prestação Serviços</t>
  </si>
  <si>
    <t>C-Receita Serviços Prestados</t>
  </si>
  <si>
    <t>u) recebimento clientes ref NF Serviços</t>
  </si>
  <si>
    <t>Receita Serviços Prestados</t>
  </si>
  <si>
    <t>u) R$ 15.000,00</t>
  </si>
  <si>
    <t xml:space="preserve">d) Débito em conta dos impostos da DI R$ 150.000,00 (impostos não recuperáveis, para simplificar o exemplo) </t>
  </si>
  <si>
    <t xml:space="preserve">C- Fornecedores Nacionais (Trading - cobrança do ICMS R$ 33.033,33 e despesas do processo ) </t>
  </si>
  <si>
    <t xml:space="preserve">D- Fornecedores Nacionais (Tradiing) </t>
  </si>
  <si>
    <t xml:space="preserve">Fornecedores Nacionais (Trading) </t>
  </si>
  <si>
    <t>D- PIS/COFINS a recuperar</t>
  </si>
  <si>
    <t>D- IPI a Recuperar</t>
  </si>
  <si>
    <t>IPI 5%</t>
  </si>
  <si>
    <t>e) R$ 39.140,00</t>
  </si>
  <si>
    <t>CRÉDITO DE PIS/COFINS CONFORME PAGO NA DI</t>
  </si>
  <si>
    <t>e) R$ 35.683,19</t>
  </si>
  <si>
    <t>e) R$ 826.396,58</t>
  </si>
  <si>
    <t>e) R$ 30.000,00</t>
  </si>
  <si>
    <t>e) R$ 249.219,77</t>
  </si>
  <si>
    <t>C-Fornecedor Importação Conta e Ordem</t>
  </si>
  <si>
    <t>j) R$ 212.000,00</t>
  </si>
  <si>
    <t>Fornecedor Importação Conta e Ordem</t>
  </si>
  <si>
    <t>j) R$ 499.500,00</t>
  </si>
  <si>
    <t>j) R$ 756.500,00</t>
  </si>
  <si>
    <t>l) R$ 383.000,00</t>
  </si>
  <si>
    <t>l) R$ 786.500,00</t>
  </si>
  <si>
    <t>l) R$ 499.500,0</t>
  </si>
  <si>
    <t>q) R$ 150.000,00</t>
  </si>
  <si>
    <t>ref Invoice exportador</t>
  </si>
  <si>
    <t>C-ISS/PIS/COFINS a Recolher</t>
  </si>
  <si>
    <t>ISS/PIS/COFINS a Recolher</t>
  </si>
  <si>
    <t>t) R$ 2.137,50</t>
  </si>
  <si>
    <t>t) R$ 12.862,50</t>
  </si>
  <si>
    <t>D-PCC (PIS,COFINS E CSLL) Retidos</t>
  </si>
  <si>
    <t>PCC (PIS,COFINS E CSLL) Retidos</t>
  </si>
  <si>
    <t>s) R$ 168.000,00</t>
  </si>
  <si>
    <t>m) R$ 37.000,00</t>
  </si>
  <si>
    <t>c) Permuta (Encontro de contas) de parte da Fatura Invoice com o adiantamento, com taxa de R$ 4,50</t>
  </si>
  <si>
    <t xml:space="preserve">* As empresas tem a opção do reconhecimento das variações cambiais pelo regime de caixa ou de competência. Em nosso modelo adotamos o reconhecimento das variações cambiais pelo regime de competência. A variação cambial contabilizada de R$ 10.000, é referente a diferença entre a taxa de câmbio do adiantamento, versus a taxa de câmbio da invoice. Conforme o CPC 02 - Efeitos das mudanças nas taxas de câmbio e conversão de demonstrações contábeis, a variação cambial foi contabilizada na conta de importação em andamento, pois a mercadoria ainda não havia sido nacionalizada. </t>
  </si>
  <si>
    <t>Bancos Conta Movimento (AC)</t>
  </si>
  <si>
    <t>Importação em Andamento (AC)</t>
  </si>
  <si>
    <t>Adiantamento Fornecedor no Exterior (AC)</t>
  </si>
  <si>
    <t>Fornecedor no Exterior (PC)</t>
  </si>
  <si>
    <t xml:space="preserve">D-Importação em Andamento </t>
  </si>
  <si>
    <t>* A variação cambial foi contabilizada na conta de importação em andamento, pois até a data do fechamento de câmbio a nota fiscal de entrada da mercadoria ainda não havia sido emitida, portanto toda variação cambial está entrando na composição do custo da mercadoria.</t>
  </si>
  <si>
    <t>Fornecedor Nacional (PC)</t>
  </si>
  <si>
    <t>Adiantamento Fornecedor Nacional (AC)</t>
  </si>
  <si>
    <t>j) R$ 739.800,00</t>
  </si>
  <si>
    <t>IPI a Recuperar (AC)</t>
  </si>
  <si>
    <t>* Na nacionalização das mercadorias foram pagos IPI de R$ 45.000,00 e PIS/PASEP e COFINS no valor de R$ 15.000,00.</t>
  </si>
  <si>
    <t>j) R$ 799.800,00</t>
  </si>
  <si>
    <t>Estoque (AC)</t>
  </si>
  <si>
    <t>PIS/COFINS a Recuperar (AC)</t>
  </si>
  <si>
    <t xml:space="preserve">* Após a emissão da nota fiscal de entrada de importação, houve o registro de novas despesas que deveriam estar no custo da mercardoria. Então foi emitida nota fiscal de entrada complementar para computar o custo das despesas no custo médio do produto. </t>
  </si>
  <si>
    <t>l) R$ 990.805,97</t>
  </si>
  <si>
    <t>Receita de Vendas Encomenda (Resultado)</t>
  </si>
  <si>
    <t>CMV Encomenda (Resultado)</t>
  </si>
  <si>
    <t>l) R$ 829.800,00</t>
  </si>
  <si>
    <t xml:space="preserve">* Para a emissão da nota fiscal de venda do cliente foram considerados os seguintes componentes: PIS 1,65%, COFINS 7,6%, ICMS 4% e margem de lucro de 3%. Como o importador é equiparado a um industrial, na venda é dado sequência a cadeia do IPI com o destaque do IPI pelo venda. </t>
  </si>
  <si>
    <t>Clientes (AC)</t>
  </si>
  <si>
    <t>IPI a Recolher (PC)</t>
  </si>
  <si>
    <t xml:space="preserve">D-IPI Sobre Vendas </t>
  </si>
  <si>
    <t>IPI Sobre Vendas (Resultado)</t>
  </si>
  <si>
    <t>D-ICMS Sobre Vendas</t>
  </si>
  <si>
    <t>ICMS Sobre Vendas (Resultado)</t>
  </si>
  <si>
    <t>PIS/COFINS Sobre Vendas (Resultado)</t>
  </si>
  <si>
    <t xml:space="preserve">D-PIS/COFINS sobre Vendas </t>
  </si>
  <si>
    <t>l) R$ 39.632,24</t>
  </si>
  <si>
    <t>l) R$ 91.649,55</t>
  </si>
  <si>
    <t xml:space="preserve">* Desconto concedido ao cliente pela venda. </t>
  </si>
  <si>
    <t>Descontos Concedidos (Resultado)</t>
  </si>
  <si>
    <t xml:space="preserve">* Em função do incentivo fiscal a empresa tem uma carga tributária efetiva de ICMS de 1%. O incentivo fiscal concede crédito presumido sobre as saídas com alíquota de ICMS de 4% no valor de 75% do débito. </t>
  </si>
  <si>
    <t>p) R$ 29.724,18</t>
  </si>
  <si>
    <t xml:space="preserve"> k) 30.000,00</t>
  </si>
  <si>
    <t>q) R$ 985.805,97</t>
  </si>
  <si>
    <t>Demonstração de Resultado do Período</t>
  </si>
  <si>
    <t xml:space="preserve">Receita de Revenda de Mercadorias </t>
  </si>
  <si>
    <t xml:space="preserve">Encerramento do Resultado do Período </t>
  </si>
  <si>
    <t>(-) Custo das Mercadorias Revendidas</t>
  </si>
  <si>
    <t>Deduções da Receita</t>
  </si>
  <si>
    <t xml:space="preserve">(-) ICMS sobre as Vendas </t>
  </si>
  <si>
    <t xml:space="preserve">(-) IPI sobre as Vendas </t>
  </si>
  <si>
    <t>(-) PIS/PASEP e COFINS sobre as Vendas</t>
  </si>
  <si>
    <t xml:space="preserve">Receita Líquida de Vendas </t>
  </si>
  <si>
    <t xml:space="preserve">Lucro Bruto </t>
  </si>
  <si>
    <t xml:space="preserve">Depesas Operacionais </t>
  </si>
  <si>
    <t xml:space="preserve">Resultado com Incentivo </t>
  </si>
  <si>
    <t xml:space="preserve">Receita Benefício Fiscal </t>
  </si>
  <si>
    <t>Lucro Antes do IRPJ e CSLL</t>
  </si>
  <si>
    <t xml:space="preserve">* Na importação por conta e ordem é possível o pagamento de despesas direto pelo adquirente das mercadorias. Despesas essas que são computadas no custo de aquisção pela trading. Os valores pagos diretamente pelo cliente (adquirente) são compensados na nota fiscal de transferência de posse da mercadoria. </t>
  </si>
  <si>
    <t>k) 30.000,00</t>
  </si>
  <si>
    <t>q) Permuta (Encontro de contas) de clientes - Despesas pagas diretamente</t>
  </si>
  <si>
    <t>C- ISS/PIS/COFINS sobre vendas (Resultado)</t>
  </si>
  <si>
    <t>u) R$ 697,50</t>
  </si>
  <si>
    <t>ISS/PIS/COFINS sobre vendas (Resultado)</t>
  </si>
  <si>
    <t>u) R$ 2.137,50</t>
  </si>
  <si>
    <t>t) R$ 14.302,50</t>
  </si>
  <si>
    <t>u) R$ 14.302,50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</si>
</sst>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4"/>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44">
    <xf numFmtId="0" fontId="0" fillId="0" borderId="0" xfId="0"/>
    <xf numFmtId="43" fontId="0" fillId="0" borderId="0" xfId="1"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4" xfId="0" applyBorder="1" applyAlignment="1">
      <alignment vertical="center"/>
    </xf>
    <xf numFmtId="0" fontId="0" fillId="0" borderId="0" xfId="0" applyBorder="1" applyAlignment="1">
      <alignment vertical="center"/>
    </xf>
    <xf numFmtId="43" fontId="0" fillId="0" borderId="0" xfId="0" applyNumberFormat="1" applyAlignment="1">
      <alignment vertical="center"/>
    </xf>
    <xf numFmtId="43" fontId="0" fillId="0" borderId="6" xfId="1" applyFont="1" applyBorder="1" applyAlignment="1">
      <alignment vertical="center"/>
    </xf>
    <xf numFmtId="0" fontId="0" fillId="0" borderId="10" xfId="0" applyBorder="1" applyAlignment="1">
      <alignment vertical="center"/>
    </xf>
    <xf numFmtId="43" fontId="0" fillId="0" borderId="11" xfId="1" applyFont="1" applyBorder="1" applyAlignment="1">
      <alignment vertical="center"/>
    </xf>
    <xf numFmtId="0" fontId="2" fillId="0" borderId="10" xfId="0" applyFont="1" applyBorder="1" applyAlignment="1">
      <alignment vertical="center"/>
    </xf>
    <xf numFmtId="43" fontId="2" fillId="0" borderId="11" xfId="1" applyFont="1" applyBorder="1" applyAlignment="1">
      <alignment vertical="center"/>
    </xf>
    <xf numFmtId="43" fontId="0" fillId="0" borderId="0" xfId="1" applyFont="1" applyBorder="1"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wrapText="1"/>
    </xf>
    <xf numFmtId="0" fontId="0" fillId="0" borderId="0" xfId="0" applyFont="1" applyBorder="1" applyAlignment="1">
      <alignment vertical="center"/>
    </xf>
    <xf numFmtId="0" fontId="0" fillId="0" borderId="4" xfId="0" applyFont="1" applyBorder="1" applyAlignment="1">
      <alignment vertical="center"/>
    </xf>
    <xf numFmtId="0" fontId="0" fillId="0" borderId="0" xfId="0" applyAlignment="1">
      <alignment vertical="center"/>
    </xf>
    <xf numFmtId="43" fontId="4" fillId="0" borderId="4" xfId="1" applyFont="1" applyBorder="1" applyAlignment="1">
      <alignment vertical="center"/>
    </xf>
    <xf numFmtId="43" fontId="4" fillId="0" borderId="0" xfId="1" applyFont="1" applyBorder="1" applyAlignment="1">
      <alignment vertical="center"/>
    </xf>
    <xf numFmtId="43" fontId="4"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43" fontId="4" fillId="0" borderId="0" xfId="0" applyNumberFormat="1" applyFont="1" applyAlignment="1">
      <alignment vertical="center"/>
    </xf>
    <xf numFmtId="3" fontId="4" fillId="0" borderId="0" xfId="0" applyNumberFormat="1" applyFont="1" applyAlignment="1">
      <alignment vertical="center"/>
    </xf>
    <xf numFmtId="0" fontId="4" fillId="0" borderId="0" xfId="0" applyFont="1" applyAlignment="1">
      <alignment vertical="center" wrapText="1"/>
    </xf>
    <xf numFmtId="43" fontId="4" fillId="0" borderId="0" xfId="1" applyFont="1" applyAlignment="1"/>
    <xf numFmtId="43" fontId="4" fillId="0" borderId="0" xfId="1" applyFont="1" applyBorder="1" applyAlignment="1"/>
    <xf numFmtId="43" fontId="4" fillId="0" borderId="0" xfId="1" applyFont="1" applyBorder="1" applyAlignment="1">
      <alignment vertical="top"/>
    </xf>
    <xf numFmtId="0" fontId="4" fillId="0" borderId="7" xfId="0" applyFont="1" applyBorder="1" applyAlignment="1">
      <alignment vertical="top"/>
    </xf>
    <xf numFmtId="0" fontId="4" fillId="0" borderId="0" xfId="0" applyFont="1" applyBorder="1" applyAlignment="1">
      <alignment vertical="top"/>
    </xf>
    <xf numFmtId="43" fontId="4" fillId="0" borderId="0" xfId="1" applyFont="1" applyAlignment="1">
      <alignment vertical="top"/>
    </xf>
    <xf numFmtId="10" fontId="4" fillId="0" borderId="0" xfId="0" applyNumberFormat="1" applyFont="1" applyAlignment="1">
      <alignment vertical="center"/>
    </xf>
    <xf numFmtId="0" fontId="4" fillId="0" borderId="0" xfId="0" applyFont="1" applyAlignment="1"/>
    <xf numFmtId="43" fontId="5" fillId="0" borderId="0" xfId="1" applyFont="1" applyBorder="1" applyAlignment="1">
      <alignment horizontal="center"/>
    </xf>
    <xf numFmtId="0" fontId="4" fillId="0" borderId="0" xfId="0" applyFont="1" applyBorder="1" applyAlignment="1"/>
    <xf numFmtId="0" fontId="5" fillId="0" borderId="0" xfId="0" applyFont="1" applyBorder="1" applyAlignment="1">
      <alignment horizontal="center" vertical="center"/>
    </xf>
    <xf numFmtId="43" fontId="5" fillId="0" borderId="0" xfId="1" applyFont="1" applyBorder="1" applyAlignment="1">
      <alignment vertical="center"/>
    </xf>
    <xf numFmtId="43" fontId="5" fillId="0" borderId="0" xfId="0" applyNumberFormat="1" applyFont="1" applyAlignment="1">
      <alignment vertical="center"/>
    </xf>
    <xf numFmtId="43" fontId="5" fillId="0" borderId="0" xfId="1" applyFont="1" applyAlignment="1">
      <alignment vertical="center"/>
    </xf>
    <xf numFmtId="43" fontId="4" fillId="0" borderId="0" xfId="1"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vertical="center"/>
    </xf>
    <xf numFmtId="0" fontId="4" fillId="0" borderId="0" xfId="0" applyFont="1" applyBorder="1" applyAlignment="1">
      <alignment vertical="center"/>
    </xf>
    <xf numFmtId="43" fontId="4" fillId="0" borderId="2" xfId="1" applyFont="1" applyBorder="1" applyAlignment="1">
      <alignment vertical="center"/>
    </xf>
    <xf numFmtId="43" fontId="4" fillId="0" borderId="3" xfId="1" applyFont="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43" fontId="4" fillId="0" borderId="0" xfId="1"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top"/>
    </xf>
    <xf numFmtId="0" fontId="4" fillId="0" borderId="11" xfId="0" applyFont="1" applyBorder="1" applyAlignment="1">
      <alignment vertical="top"/>
    </xf>
    <xf numFmtId="0" fontId="4" fillId="0" borderId="0" xfId="0" applyFont="1" applyAlignment="1">
      <alignment vertical="center"/>
    </xf>
    <xf numFmtId="43" fontId="4" fillId="0" borderId="0" xfId="1" applyFont="1" applyAlignment="1">
      <alignment horizontal="center"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xf>
    <xf numFmtId="0" fontId="4" fillId="0" borderId="3" xfId="0" applyFont="1" applyBorder="1" applyAlignment="1">
      <alignment vertical="top"/>
    </xf>
    <xf numFmtId="0" fontId="4" fillId="0" borderId="2" xfId="0" applyFont="1" applyBorder="1" applyAlignment="1">
      <alignment vertical="top"/>
    </xf>
    <xf numFmtId="43" fontId="4" fillId="0" borderId="3" xfId="1" applyFont="1" applyBorder="1" applyAlignment="1"/>
    <xf numFmtId="43" fontId="4" fillId="0" borderId="2" xfId="1" applyFont="1" applyBorder="1" applyAlignment="1"/>
    <xf numFmtId="43" fontId="4" fillId="0" borderId="1" xfId="1" applyFont="1" applyBorder="1" applyAlignment="1"/>
    <xf numFmtId="43" fontId="4" fillId="0" borderId="10" xfId="1" applyFont="1" applyBorder="1" applyAlignment="1"/>
    <xf numFmtId="0" fontId="4" fillId="0" borderId="3" xfId="0" applyFont="1" applyBorder="1" applyAlignment="1"/>
    <xf numFmtId="0" fontId="4" fillId="0" borderId="1" xfId="0" applyFont="1" applyBorder="1" applyAlignment="1"/>
    <xf numFmtId="0" fontId="4" fillId="0" borderId="10" xfId="0" applyFont="1" applyBorder="1" applyAlignment="1"/>
    <xf numFmtId="43" fontId="4" fillId="0" borderId="3" xfId="1" applyFont="1" applyBorder="1" applyAlignment="1">
      <alignment horizontal="center" vertical="center"/>
    </xf>
    <xf numFmtId="43" fontId="4" fillId="0" borderId="5" xfId="1" applyFont="1" applyBorder="1" applyAlignment="1">
      <alignment horizontal="center" vertical="center"/>
    </xf>
    <xf numFmtId="43" fontId="4" fillId="0" borderId="2" xfId="1" applyFont="1" applyBorder="1" applyAlignment="1">
      <alignment horizontal="center" vertical="center"/>
    </xf>
    <xf numFmtId="43" fontId="4" fillId="0" borderId="0" xfId="1" applyFont="1" applyBorder="1" applyAlignment="1"/>
    <xf numFmtId="0" fontId="4" fillId="0" borderId="2" xfId="0" applyFont="1" applyBorder="1" applyAlignment="1"/>
    <xf numFmtId="0" fontId="4" fillId="0" borderId="0" xfId="0" applyFont="1" applyAlignment="1">
      <alignment horizontal="justify" vertical="justify" wrapText="1" shrinkToFit="1"/>
    </xf>
    <xf numFmtId="0" fontId="4" fillId="0" borderId="0" xfId="0" applyFont="1" applyAlignment="1">
      <alignment horizontal="justify" vertical="top" wrapText="1" shrinkToFit="1"/>
    </xf>
    <xf numFmtId="0" fontId="4" fillId="0" borderId="9" xfId="0" applyFont="1" applyBorder="1" applyAlignment="1">
      <alignment vertical="top"/>
    </xf>
    <xf numFmtId="0" fontId="4" fillId="0" borderId="7" xfId="0" applyFont="1" applyBorder="1" applyAlignment="1">
      <alignment vertical="top"/>
    </xf>
    <xf numFmtId="0" fontId="4" fillId="0" borderId="10" xfId="0" applyFont="1" applyBorder="1" applyAlignment="1">
      <alignment vertical="top"/>
    </xf>
    <xf numFmtId="0" fontId="4" fillId="0" borderId="0" xfId="0" applyFont="1" applyBorder="1" applyAlignment="1"/>
    <xf numFmtId="43" fontId="4" fillId="0" borderId="2" xfId="1" applyFont="1" applyBorder="1" applyAlignment="1">
      <alignment horizontal="center" vertical="top"/>
    </xf>
    <xf numFmtId="43" fontId="4" fillId="0" borderId="3" xfId="1" applyFont="1" applyBorder="1" applyAlignment="1">
      <alignment horizontal="center" vertical="top"/>
    </xf>
    <xf numFmtId="43" fontId="4" fillId="0" borderId="3" xfId="1" applyFont="1" applyBorder="1" applyAlignment="1">
      <alignment horizontal="center"/>
    </xf>
    <xf numFmtId="43" fontId="4" fillId="0" borderId="5" xfId="1" applyFont="1" applyBorder="1" applyAlignment="1">
      <alignment horizontal="center"/>
    </xf>
    <xf numFmtId="43" fontId="4" fillId="0" borderId="9" xfId="1" applyFont="1" applyBorder="1" applyAlignment="1">
      <alignment horizontal="center" vertical="top"/>
    </xf>
    <xf numFmtId="43" fontId="4" fillId="0" borderId="7" xfId="1" applyFont="1" applyBorder="1" applyAlignment="1">
      <alignment horizontal="center" vertical="top"/>
    </xf>
    <xf numFmtId="43" fontId="4" fillId="0" borderId="0" xfId="1" applyFont="1" applyBorder="1" applyAlignment="1">
      <alignment horizontal="center" vertical="center"/>
    </xf>
    <xf numFmtId="43" fontId="4" fillId="0" borderId="4" xfId="1" applyFont="1" applyBorder="1" applyAlignment="1">
      <alignment horizontal="center" vertical="center"/>
    </xf>
    <xf numFmtId="43" fontId="4" fillId="0" borderId="4" xfId="1" applyFont="1" applyBorder="1" applyAlignment="1">
      <alignment vertical="center"/>
    </xf>
    <xf numFmtId="0" fontId="5" fillId="0" borderId="0" xfId="0" applyFont="1" applyBorder="1" applyAlignment="1">
      <alignment horizontal="center"/>
    </xf>
    <xf numFmtId="43" fontId="4" fillId="0" borderId="5" xfId="1" applyFont="1" applyBorder="1" applyAlignment="1"/>
    <xf numFmtId="43" fontId="4" fillId="0" borderId="11" xfId="1" applyFont="1" applyBorder="1" applyAlignment="1"/>
    <xf numFmtId="43" fontId="4" fillId="0" borderId="2" xfId="1" applyFont="1" applyBorder="1" applyAlignment="1">
      <alignment horizontal="center"/>
    </xf>
    <xf numFmtId="43" fontId="4" fillId="0" borderId="5" xfId="1" applyFont="1" applyBorder="1" applyAlignment="1">
      <alignment vertical="center"/>
    </xf>
    <xf numFmtId="43" fontId="5" fillId="0" borderId="0" xfId="1" applyFont="1" applyBorder="1" applyAlignment="1">
      <alignment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0" fontId="0" fillId="0" borderId="0" xfId="0" applyFont="1" applyAlignment="1">
      <alignment vertical="center"/>
    </xf>
    <xf numFmtId="0" fontId="0" fillId="0" borderId="6" xfId="0" applyFont="1" applyBorder="1" applyAlignment="1">
      <alignment vertical="center"/>
    </xf>
    <xf numFmtId="0" fontId="2" fillId="0" borderId="0" xfId="0" applyFont="1" applyAlignment="1">
      <alignment horizontal="left" vertical="center" wrapText="1"/>
    </xf>
    <xf numFmtId="0" fontId="0" fillId="0" borderId="5" xfId="0" applyFont="1" applyBorder="1" applyAlignment="1">
      <alignment vertical="center"/>
    </xf>
    <xf numFmtId="43" fontId="0" fillId="0" borderId="2" xfId="0" applyNumberFormat="1" applyFont="1" applyBorder="1" applyAlignment="1">
      <alignment vertical="center"/>
    </xf>
    <xf numFmtId="43" fontId="0" fillId="0" borderId="0" xfId="0" applyNumberFormat="1"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43" fontId="0" fillId="0" borderId="0" xfId="1" applyFont="1" applyAlignment="1">
      <alignment horizontal="center" vertical="center"/>
    </xf>
    <xf numFmtId="0" fontId="0" fillId="0" borderId="1"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Border="1" applyAlignment="1">
      <alignment vertical="center"/>
    </xf>
    <xf numFmtId="0" fontId="4" fillId="0" borderId="0" xfId="0" applyFont="1" applyAlignment="1">
      <alignment vertical="top" wrapText="1"/>
    </xf>
    <xf numFmtId="0" fontId="4" fillId="3" borderId="0"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43" fontId="4" fillId="0" borderId="0" xfId="0" applyNumberFormat="1" applyFont="1" applyFill="1" applyAlignment="1">
      <alignment vertical="center"/>
    </xf>
    <xf numFmtId="0" fontId="4" fillId="0" borderId="0" xfId="0" applyFont="1" applyFill="1" applyAlignment="1">
      <alignment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53E1-D238-CC4A-A6E3-CA89C74C354A}">
  <dimension ref="A2:Q113"/>
  <sheetViews>
    <sheetView showGridLines="0" tabSelected="1" zoomScale="140" zoomScaleNormal="140" workbookViewId="0">
      <selection activeCell="D102" sqref="D102"/>
    </sheetView>
  </sheetViews>
  <sheetFormatPr baseColWidth="10" defaultColWidth="9.1640625" defaultRowHeight="15" x14ac:dyDescent="0.2"/>
  <cols>
    <col min="1" max="1" width="11.5" style="26" bestFit="1" customWidth="1"/>
    <col min="2" max="2" width="9.1640625" style="26"/>
    <col min="3" max="3" width="19.1640625" style="26" customWidth="1"/>
    <col min="4" max="4" width="11.5" style="26" bestFit="1" customWidth="1"/>
    <col min="5" max="5" width="2.6640625" style="25" customWidth="1"/>
    <col min="6" max="6" width="11.5" style="25" bestFit="1" customWidth="1"/>
    <col min="7" max="7" width="13.33203125" style="26" bestFit="1" customWidth="1"/>
    <col min="8" max="8" width="11.5" style="26" customWidth="1"/>
    <col min="9" max="9" width="13.33203125" style="26" bestFit="1" customWidth="1"/>
    <col min="10" max="10" width="3.5" style="26" customWidth="1"/>
    <col min="11" max="11" width="3" style="26" customWidth="1"/>
    <col min="12" max="12" width="35.1640625" style="26" customWidth="1"/>
    <col min="13" max="13" width="15.5" style="25" customWidth="1"/>
    <col min="14" max="14" width="9.1640625" style="26"/>
    <col min="15" max="15" width="11.5" style="26" bestFit="1" customWidth="1"/>
    <col min="16" max="18" width="9.1640625" style="26"/>
    <col min="19" max="19" width="11.1640625" style="26" bestFit="1" customWidth="1"/>
    <col min="20" max="16384" width="9.1640625" style="26"/>
  </cols>
  <sheetData>
    <row r="2" spans="1:15" x14ac:dyDescent="0.2">
      <c r="A2" s="59" t="s">
        <v>181</v>
      </c>
      <c r="B2" s="59"/>
      <c r="C2" s="59"/>
      <c r="D2" s="59"/>
      <c r="F2" s="59" t="s">
        <v>182</v>
      </c>
      <c r="G2" s="59"/>
      <c r="H2" s="59"/>
      <c r="I2" s="59"/>
      <c r="L2" s="27" t="s">
        <v>48</v>
      </c>
    </row>
    <row r="3" spans="1:15" x14ac:dyDescent="0.2">
      <c r="A3" s="64" t="s">
        <v>216</v>
      </c>
      <c r="B3" s="65"/>
      <c r="C3" s="66" t="s">
        <v>75</v>
      </c>
      <c r="D3" s="64"/>
      <c r="F3" s="64" t="s">
        <v>10</v>
      </c>
      <c r="G3" s="65"/>
      <c r="H3" s="66" t="s">
        <v>189</v>
      </c>
      <c r="I3" s="64"/>
      <c r="L3" s="26" t="s">
        <v>50</v>
      </c>
      <c r="O3" s="25">
        <f>50000*4.7</f>
        <v>235000</v>
      </c>
    </row>
    <row r="4" spans="1:15" x14ac:dyDescent="0.2">
      <c r="A4" s="70"/>
      <c r="B4" s="56"/>
      <c r="C4" s="55" t="s">
        <v>79</v>
      </c>
      <c r="D4" s="56"/>
      <c r="F4" s="56" t="s">
        <v>77</v>
      </c>
      <c r="G4" s="67"/>
      <c r="H4" s="55"/>
      <c r="I4" s="56"/>
      <c r="L4" s="26" t="s">
        <v>51</v>
      </c>
      <c r="O4" s="25">
        <f>50000*4.7</f>
        <v>235000</v>
      </c>
    </row>
    <row r="5" spans="1:15" x14ac:dyDescent="0.2">
      <c r="A5" s="56"/>
      <c r="B5" s="56"/>
      <c r="C5" s="55" t="s">
        <v>83</v>
      </c>
      <c r="D5" s="56"/>
      <c r="F5" s="56" t="s">
        <v>83</v>
      </c>
      <c r="G5" s="67"/>
      <c r="H5" s="55"/>
      <c r="I5" s="56"/>
    </row>
    <row r="6" spans="1:15" x14ac:dyDescent="0.2">
      <c r="A6" s="28"/>
      <c r="B6" s="28"/>
      <c r="C6" s="72" t="s">
        <v>84</v>
      </c>
      <c r="D6" s="73"/>
      <c r="F6" s="56" t="s">
        <v>81</v>
      </c>
      <c r="G6" s="67"/>
      <c r="H6" s="29"/>
      <c r="I6" s="28"/>
      <c r="L6" s="27" t="s">
        <v>54</v>
      </c>
    </row>
    <row r="7" spans="1:15" x14ac:dyDescent="0.2">
      <c r="A7" s="28"/>
      <c r="B7" s="28"/>
      <c r="C7" s="72" t="s">
        <v>90</v>
      </c>
      <c r="D7" s="73"/>
      <c r="F7" s="56" t="s">
        <v>87</v>
      </c>
      <c r="G7" s="67"/>
      <c r="H7" s="29"/>
      <c r="L7" s="26" t="s">
        <v>49</v>
      </c>
      <c r="O7" s="25">
        <f>111000*4.5</f>
        <v>499500</v>
      </c>
    </row>
    <row r="8" spans="1:15" x14ac:dyDescent="0.2">
      <c r="A8" s="30"/>
      <c r="B8" s="30"/>
      <c r="C8" s="74" t="s">
        <v>114</v>
      </c>
      <c r="D8" s="75"/>
      <c r="F8" s="60" t="s">
        <v>92</v>
      </c>
      <c r="G8" s="61"/>
      <c r="H8" s="31"/>
      <c r="I8" s="30"/>
      <c r="L8" s="26" t="s">
        <v>52</v>
      </c>
      <c r="O8" s="25">
        <f>111000*4.5</f>
        <v>499500</v>
      </c>
    </row>
    <row r="9" spans="1:15" x14ac:dyDescent="0.2">
      <c r="A9" s="71">
        <f>447000+985805.97-(235000+50000+150000+292800+5000+7000)</f>
        <v>693005.97</v>
      </c>
      <c r="B9" s="71"/>
      <c r="C9" s="88"/>
      <c r="D9" s="86"/>
      <c r="F9" s="71">
        <f>739800-(499500+10000+150000+18300+55000+7000)</f>
        <v>0</v>
      </c>
      <c r="G9" s="71"/>
      <c r="H9" s="71">
        <f>739800-(499500+10000+150000+18300+55000+7000)</f>
        <v>0</v>
      </c>
      <c r="I9" s="71"/>
    </row>
    <row r="10" spans="1:15" x14ac:dyDescent="0.2">
      <c r="A10" s="32"/>
      <c r="L10" s="27" t="s">
        <v>179</v>
      </c>
    </row>
    <row r="11" spans="1:15" x14ac:dyDescent="0.2">
      <c r="L11" s="26" t="s">
        <v>53</v>
      </c>
      <c r="O11" s="25">
        <f>50000*4.5</f>
        <v>225000</v>
      </c>
    </row>
    <row r="12" spans="1:15" x14ac:dyDescent="0.2">
      <c r="A12" s="59" t="s">
        <v>183</v>
      </c>
      <c r="B12" s="59"/>
      <c r="C12" s="59"/>
      <c r="D12" s="59"/>
      <c r="F12" s="59" t="s">
        <v>184</v>
      </c>
      <c r="G12" s="59"/>
      <c r="H12" s="59"/>
      <c r="I12" s="59"/>
      <c r="L12" s="26" t="s">
        <v>185</v>
      </c>
      <c r="O12" s="32">
        <f>(50000*(4.7-4.5))</f>
        <v>10000.000000000009</v>
      </c>
    </row>
    <row r="13" spans="1:15" ht="18" customHeight="1" x14ac:dyDescent="0.2">
      <c r="A13" s="64" t="s">
        <v>75</v>
      </c>
      <c r="B13" s="65"/>
      <c r="C13" s="66" t="s">
        <v>82</v>
      </c>
      <c r="D13" s="64"/>
      <c r="F13" s="64" t="s">
        <v>85</v>
      </c>
      <c r="G13" s="65"/>
      <c r="H13" s="66" t="s">
        <v>10</v>
      </c>
      <c r="I13" s="64"/>
      <c r="L13" s="26" t="s">
        <v>56</v>
      </c>
      <c r="O13" s="25">
        <f>O11+O12</f>
        <v>235000</v>
      </c>
    </row>
    <row r="14" spans="1:15" ht="125.25" customHeight="1" x14ac:dyDescent="0.2">
      <c r="A14" s="60"/>
      <c r="B14" s="61"/>
      <c r="C14" s="62"/>
      <c r="D14" s="60"/>
      <c r="F14" s="68" t="s">
        <v>86</v>
      </c>
      <c r="G14" s="69"/>
      <c r="H14" s="62"/>
      <c r="I14" s="60"/>
      <c r="L14" s="91" t="s">
        <v>180</v>
      </c>
      <c r="M14" s="91"/>
      <c r="N14" s="91"/>
      <c r="O14" s="91"/>
    </row>
    <row r="15" spans="1:15" x14ac:dyDescent="0.2">
      <c r="A15" s="63">
        <v>0</v>
      </c>
      <c r="B15" s="63"/>
      <c r="C15" s="57">
        <v>0</v>
      </c>
      <c r="D15" s="58"/>
      <c r="F15" s="63">
        <f>225000+274500-499500</f>
        <v>0</v>
      </c>
      <c r="G15" s="63"/>
      <c r="H15" s="58">
        <f>225000+274500-499500</f>
        <v>0</v>
      </c>
      <c r="I15" s="58"/>
    </row>
    <row r="16" spans="1:15" x14ac:dyDescent="0.2">
      <c r="L16" s="27" t="s">
        <v>55</v>
      </c>
    </row>
    <row r="17" spans="1:15" x14ac:dyDescent="0.2">
      <c r="J17" s="25"/>
      <c r="L17" s="26" t="s">
        <v>66</v>
      </c>
      <c r="O17" s="33">
        <v>50000</v>
      </c>
    </row>
    <row r="18" spans="1:15" x14ac:dyDescent="0.2">
      <c r="A18" s="59" t="s">
        <v>187</v>
      </c>
      <c r="B18" s="59"/>
      <c r="C18" s="59"/>
      <c r="D18" s="59"/>
      <c r="F18" s="59" t="s">
        <v>188</v>
      </c>
      <c r="G18" s="59"/>
      <c r="H18" s="59"/>
      <c r="I18" s="59"/>
      <c r="J18" s="25"/>
      <c r="L18" s="26" t="s">
        <v>80</v>
      </c>
      <c r="O18" s="33">
        <v>50000</v>
      </c>
    </row>
    <row r="19" spans="1:15" x14ac:dyDescent="0.2">
      <c r="A19" s="56" t="s">
        <v>89</v>
      </c>
      <c r="B19" s="56"/>
      <c r="C19" s="66" t="s">
        <v>87</v>
      </c>
      <c r="D19" s="64"/>
      <c r="F19" s="56" t="s">
        <v>79</v>
      </c>
      <c r="G19" s="56"/>
      <c r="H19" s="66" t="s">
        <v>91</v>
      </c>
      <c r="I19" s="64"/>
      <c r="J19" s="25"/>
    </row>
    <row r="20" spans="1:15" x14ac:dyDescent="0.2">
      <c r="A20" s="60" t="s">
        <v>114</v>
      </c>
      <c r="B20" s="60"/>
      <c r="C20" s="62" t="s">
        <v>92</v>
      </c>
      <c r="D20" s="60"/>
      <c r="F20" s="60"/>
      <c r="G20" s="60"/>
      <c r="H20" s="31"/>
      <c r="I20" s="30"/>
      <c r="J20" s="25"/>
      <c r="L20" s="27" t="s">
        <v>57</v>
      </c>
    </row>
    <row r="21" spans="1:15" ht="16" x14ac:dyDescent="0.2">
      <c r="A21" s="55"/>
      <c r="B21" s="56"/>
      <c r="C21" s="57" t="s">
        <v>215</v>
      </c>
      <c r="D21" s="58"/>
      <c r="F21" s="63">
        <f>225000+274500-499500</f>
        <v>0</v>
      </c>
      <c r="G21" s="63"/>
      <c r="H21" s="63">
        <f>225000+274500-499500</f>
        <v>0</v>
      </c>
      <c r="I21" s="63"/>
      <c r="J21" s="25"/>
      <c r="L21" s="34" t="s">
        <v>19</v>
      </c>
      <c r="O21" s="25">
        <v>150000</v>
      </c>
    </row>
    <row r="22" spans="1:15" ht="16" x14ac:dyDescent="0.2">
      <c r="L22" s="34" t="s">
        <v>4</v>
      </c>
      <c r="O22" s="25">
        <v>150000</v>
      </c>
    </row>
    <row r="23" spans="1:15" ht="34.5" customHeight="1" x14ac:dyDescent="0.2">
      <c r="A23" s="76" t="s">
        <v>190</v>
      </c>
      <c r="B23" s="76"/>
      <c r="C23" s="76"/>
      <c r="D23" s="76"/>
      <c r="E23" s="35"/>
      <c r="F23" s="76" t="s">
        <v>193</v>
      </c>
      <c r="G23" s="76"/>
      <c r="H23" s="76"/>
      <c r="I23" s="76"/>
      <c r="L23" s="92" t="s">
        <v>191</v>
      </c>
      <c r="M23" s="92"/>
      <c r="N23" s="92"/>
      <c r="O23" s="92"/>
    </row>
    <row r="24" spans="1:15" x14ac:dyDescent="0.2">
      <c r="A24" s="56" t="s">
        <v>95</v>
      </c>
      <c r="B24" s="56"/>
      <c r="C24" s="66"/>
      <c r="D24" s="64"/>
      <c r="F24" s="64" t="s">
        <v>192</v>
      </c>
      <c r="G24" s="64"/>
      <c r="H24" s="66" t="s">
        <v>199</v>
      </c>
      <c r="I24" s="64"/>
      <c r="L24" s="27" t="s">
        <v>58</v>
      </c>
    </row>
    <row r="25" spans="1:15" x14ac:dyDescent="0.2">
      <c r="A25" s="60"/>
      <c r="B25" s="60"/>
      <c r="C25" s="62"/>
      <c r="D25" s="60"/>
      <c r="F25" s="60" t="s">
        <v>96</v>
      </c>
      <c r="G25" s="60"/>
      <c r="H25" s="62"/>
      <c r="I25" s="60"/>
      <c r="L25" s="26" t="s">
        <v>59</v>
      </c>
      <c r="O25" s="25">
        <f>(111000-50000)*4.5</f>
        <v>274500</v>
      </c>
    </row>
    <row r="26" spans="1:15" x14ac:dyDescent="0.2">
      <c r="A26" s="86">
        <v>45000</v>
      </c>
      <c r="B26" s="87"/>
      <c r="C26" s="88">
        <v>0</v>
      </c>
      <c r="D26" s="86"/>
      <c r="F26" s="86">
        <v>0</v>
      </c>
      <c r="G26" s="87"/>
      <c r="H26" s="88">
        <v>0</v>
      </c>
      <c r="I26" s="86"/>
      <c r="L26" s="26" t="s">
        <v>185</v>
      </c>
      <c r="O26" s="25">
        <f>O27-O25</f>
        <v>18300</v>
      </c>
    </row>
    <row r="27" spans="1:15" x14ac:dyDescent="0.2">
      <c r="L27" s="26" t="s">
        <v>51</v>
      </c>
      <c r="O27" s="25">
        <f>(111000-50000)*4.8</f>
        <v>292800</v>
      </c>
    </row>
    <row r="28" spans="1:15" ht="67.5" customHeight="1" x14ac:dyDescent="0.2">
      <c r="A28" s="76" t="s">
        <v>194</v>
      </c>
      <c r="B28" s="76"/>
      <c r="C28" s="76"/>
      <c r="D28" s="76"/>
      <c r="F28" s="26"/>
      <c r="L28" s="92" t="s">
        <v>186</v>
      </c>
      <c r="M28" s="92"/>
      <c r="N28" s="92"/>
      <c r="O28" s="92"/>
    </row>
    <row r="29" spans="1:15" x14ac:dyDescent="0.2">
      <c r="A29" s="56" t="s">
        <v>106</v>
      </c>
      <c r="B29" s="56"/>
      <c r="C29" s="66"/>
      <c r="D29" s="64"/>
    </row>
    <row r="30" spans="1:15" x14ac:dyDescent="0.2">
      <c r="A30" s="56"/>
      <c r="B30" s="56"/>
      <c r="C30" s="55"/>
      <c r="D30" s="56"/>
      <c r="L30" s="27" t="s">
        <v>61</v>
      </c>
    </row>
    <row r="31" spans="1:15" x14ac:dyDescent="0.2">
      <c r="A31" s="86">
        <v>15000</v>
      </c>
      <c r="B31" s="87"/>
      <c r="C31" s="88">
        <v>0</v>
      </c>
      <c r="D31" s="86"/>
      <c r="L31" s="26" t="s">
        <v>49</v>
      </c>
      <c r="O31" s="25">
        <v>55000</v>
      </c>
    </row>
    <row r="32" spans="1:15" x14ac:dyDescent="0.2">
      <c r="L32" s="26" t="s">
        <v>60</v>
      </c>
      <c r="O32" s="25">
        <v>55000</v>
      </c>
    </row>
    <row r="33" spans="1:15" x14ac:dyDescent="0.2">
      <c r="A33" s="76" t="s">
        <v>197</v>
      </c>
      <c r="B33" s="76"/>
      <c r="C33" s="76"/>
      <c r="D33" s="76"/>
      <c r="F33" s="76" t="s">
        <v>201</v>
      </c>
      <c r="G33" s="76"/>
      <c r="H33" s="76"/>
      <c r="I33" s="76"/>
      <c r="O33" s="25"/>
    </row>
    <row r="34" spans="1:15" x14ac:dyDescent="0.2">
      <c r="A34" s="89">
        <f>990805.67</f>
        <v>990805.67</v>
      </c>
      <c r="B34" s="89"/>
      <c r="C34" s="90" t="s">
        <v>196</v>
      </c>
      <c r="D34" s="83"/>
      <c r="F34" s="64" t="s">
        <v>196</v>
      </c>
      <c r="G34" s="64"/>
      <c r="H34" s="66" t="s">
        <v>121</v>
      </c>
      <c r="I34" s="64"/>
      <c r="L34" s="27" t="s">
        <v>62</v>
      </c>
      <c r="O34" s="25"/>
    </row>
    <row r="35" spans="1:15" x14ac:dyDescent="0.2">
      <c r="A35" s="84"/>
      <c r="B35" s="84"/>
      <c r="C35" s="85"/>
      <c r="D35" s="84"/>
      <c r="F35" s="60"/>
      <c r="G35" s="60"/>
      <c r="H35" s="62" t="s">
        <v>216</v>
      </c>
      <c r="I35" s="60"/>
      <c r="L35" s="26" t="s">
        <v>63</v>
      </c>
      <c r="O35" s="32">
        <f>O32</f>
        <v>55000</v>
      </c>
    </row>
    <row r="36" spans="1:15" x14ac:dyDescent="0.2">
      <c r="A36" s="86">
        <v>0</v>
      </c>
      <c r="B36" s="87"/>
      <c r="C36" s="88">
        <v>0</v>
      </c>
      <c r="D36" s="86"/>
      <c r="F36" s="86">
        <v>0</v>
      </c>
      <c r="G36" s="87"/>
      <c r="H36" s="88">
        <v>0</v>
      </c>
      <c r="I36" s="86"/>
      <c r="L36" s="26" t="s">
        <v>67</v>
      </c>
      <c r="O36" s="32">
        <f>O18</f>
        <v>50000</v>
      </c>
    </row>
    <row r="37" spans="1:15" x14ac:dyDescent="0.2">
      <c r="L37" s="26" t="s">
        <v>64</v>
      </c>
      <c r="O37" s="32">
        <f>O35-O36</f>
        <v>5000</v>
      </c>
    </row>
    <row r="38" spans="1:15" x14ac:dyDescent="0.2">
      <c r="A38" s="76" t="s">
        <v>198</v>
      </c>
      <c r="B38" s="76"/>
      <c r="C38" s="76"/>
      <c r="D38" s="76"/>
      <c r="F38" s="76" t="s">
        <v>212</v>
      </c>
      <c r="G38" s="76"/>
      <c r="H38" s="76"/>
      <c r="I38" s="76"/>
      <c r="O38" s="32"/>
    </row>
    <row r="39" spans="1:15" x14ac:dyDescent="0.2">
      <c r="A39" s="83" t="s">
        <v>199</v>
      </c>
      <c r="B39" s="83"/>
      <c r="C39" s="80">
        <v>829800</v>
      </c>
      <c r="D39" s="79"/>
      <c r="F39" s="58" t="s">
        <v>121</v>
      </c>
      <c r="G39" s="58"/>
      <c r="H39" s="80">
        <v>5000</v>
      </c>
      <c r="I39" s="79"/>
      <c r="O39" s="32"/>
    </row>
    <row r="40" spans="1:15" x14ac:dyDescent="0.2">
      <c r="A40" s="84"/>
      <c r="B40" s="84"/>
      <c r="C40" s="82"/>
      <c r="D40" s="81"/>
      <c r="F40" s="81"/>
      <c r="G40" s="81"/>
      <c r="H40" s="82"/>
      <c r="I40" s="81"/>
      <c r="L40" s="27" t="s">
        <v>73</v>
      </c>
      <c r="O40" s="32"/>
    </row>
    <row r="41" spans="1:15" x14ac:dyDescent="0.2">
      <c r="A41" s="99">
        <v>0</v>
      </c>
      <c r="B41" s="100"/>
      <c r="C41" s="99">
        <v>0</v>
      </c>
      <c r="D41" s="99"/>
      <c r="E41" s="24"/>
      <c r="F41" s="99">
        <v>0</v>
      </c>
      <c r="G41" s="100"/>
      <c r="H41" s="88">
        <v>0</v>
      </c>
      <c r="I41" s="86"/>
      <c r="L41" s="26" t="s">
        <v>49</v>
      </c>
      <c r="O41" s="32">
        <v>7000</v>
      </c>
    </row>
    <row r="42" spans="1:15" x14ac:dyDescent="0.2">
      <c r="L42" s="26" t="s">
        <v>65</v>
      </c>
      <c r="O42" s="32">
        <v>7000</v>
      </c>
    </row>
    <row r="43" spans="1:15" x14ac:dyDescent="0.2">
      <c r="A43" s="76" t="s">
        <v>204</v>
      </c>
      <c r="B43" s="76"/>
      <c r="C43" s="76"/>
      <c r="D43" s="76"/>
      <c r="E43" s="35"/>
      <c r="F43" s="76" t="s">
        <v>202</v>
      </c>
      <c r="G43" s="76"/>
      <c r="H43" s="76"/>
      <c r="I43" s="76"/>
      <c r="O43" s="32"/>
    </row>
    <row r="44" spans="1:15" x14ac:dyDescent="0.2">
      <c r="A44" s="83" t="s">
        <v>110</v>
      </c>
      <c r="B44" s="83"/>
      <c r="C44" s="80">
        <v>51000</v>
      </c>
      <c r="D44" s="79"/>
      <c r="E44" s="35"/>
      <c r="F44" s="79"/>
      <c r="G44" s="79"/>
      <c r="H44" s="80" t="s">
        <v>110</v>
      </c>
      <c r="I44" s="79"/>
      <c r="L44" s="27" t="s">
        <v>74</v>
      </c>
      <c r="O44" s="32"/>
    </row>
    <row r="45" spans="1:15" x14ac:dyDescent="0.2">
      <c r="A45" s="84"/>
      <c r="B45" s="84"/>
      <c r="C45" s="82"/>
      <c r="D45" s="81"/>
      <c r="E45" s="35"/>
      <c r="F45" s="81"/>
      <c r="G45" s="81"/>
      <c r="H45" s="82"/>
      <c r="I45" s="81"/>
      <c r="L45" s="26" t="s">
        <v>68</v>
      </c>
      <c r="O45" s="32">
        <f>O46+O47+O48</f>
        <v>799800</v>
      </c>
    </row>
    <row r="46" spans="1:15" x14ac:dyDescent="0.2">
      <c r="A46" s="99">
        <v>0</v>
      </c>
      <c r="B46" s="100"/>
      <c r="C46" s="99">
        <v>0</v>
      </c>
      <c r="D46" s="99"/>
      <c r="E46" s="36"/>
      <c r="F46" s="36"/>
      <c r="G46" s="36"/>
      <c r="H46" s="109">
        <v>51000</v>
      </c>
      <c r="I46" s="99"/>
      <c r="L46" s="26" t="s">
        <v>69</v>
      </c>
      <c r="O46" s="32">
        <f>O7+O21+O31+O41+O12+O26</f>
        <v>739800</v>
      </c>
    </row>
    <row r="47" spans="1:15" x14ac:dyDescent="0.2">
      <c r="L47" s="26" t="s">
        <v>70</v>
      </c>
      <c r="O47" s="32">
        <v>45000</v>
      </c>
    </row>
    <row r="48" spans="1:15" x14ac:dyDescent="0.2">
      <c r="A48" s="76" t="s">
        <v>206</v>
      </c>
      <c r="B48" s="76"/>
      <c r="C48" s="76"/>
      <c r="D48" s="76"/>
      <c r="E48" s="26"/>
      <c r="F48" s="76" t="s">
        <v>111</v>
      </c>
      <c r="G48" s="76"/>
      <c r="H48" s="76"/>
      <c r="I48" s="76"/>
      <c r="L48" s="26" t="s">
        <v>104</v>
      </c>
      <c r="O48" s="32">
        <v>15000</v>
      </c>
    </row>
    <row r="49" spans="1:17" x14ac:dyDescent="0.2">
      <c r="A49" s="96" t="s">
        <v>209</v>
      </c>
      <c r="B49" s="96"/>
      <c r="C49" s="80">
        <v>39632.239999999998</v>
      </c>
      <c r="D49" s="79"/>
      <c r="E49" s="26"/>
      <c r="F49" s="77" t="s">
        <v>214</v>
      </c>
      <c r="G49" s="77"/>
      <c r="H49" s="78" t="s">
        <v>209</v>
      </c>
      <c r="I49" s="77"/>
      <c r="O49" s="32"/>
    </row>
    <row r="50" spans="1:17" x14ac:dyDescent="0.2">
      <c r="A50" s="84"/>
      <c r="B50" s="84"/>
      <c r="C50" s="85"/>
      <c r="D50" s="84"/>
      <c r="F50" s="68"/>
      <c r="G50" s="68"/>
      <c r="H50" s="95"/>
      <c r="I50" s="68"/>
    </row>
    <row r="51" spans="1:17" x14ac:dyDescent="0.2">
      <c r="A51" s="99">
        <v>0</v>
      </c>
      <c r="B51" s="100"/>
      <c r="C51" s="99">
        <v>0</v>
      </c>
      <c r="D51" s="99"/>
      <c r="E51" s="24"/>
      <c r="F51" s="37"/>
      <c r="G51" s="37"/>
      <c r="H51" s="97">
        <f>39632.24-29724.18</f>
        <v>9908.0599999999977</v>
      </c>
      <c r="I51" s="98"/>
      <c r="L51" s="27" t="s">
        <v>97</v>
      </c>
    </row>
    <row r="52" spans="1:17" x14ac:dyDescent="0.2">
      <c r="L52" s="26" t="s">
        <v>68</v>
      </c>
      <c r="O52" s="32">
        <v>30000</v>
      </c>
    </row>
    <row r="53" spans="1:17" x14ac:dyDescent="0.2">
      <c r="A53" s="76" t="s">
        <v>207</v>
      </c>
      <c r="B53" s="76"/>
      <c r="C53" s="76"/>
      <c r="D53" s="76"/>
      <c r="E53" s="35"/>
      <c r="F53" s="76" t="s">
        <v>112</v>
      </c>
      <c r="G53" s="76"/>
      <c r="H53" s="76"/>
      <c r="I53" s="76"/>
      <c r="L53" s="26" t="s">
        <v>65</v>
      </c>
      <c r="O53" s="32">
        <v>30000</v>
      </c>
    </row>
    <row r="54" spans="1:17" ht="45.75" customHeight="1" x14ac:dyDescent="0.2">
      <c r="A54" s="94" t="s">
        <v>210</v>
      </c>
      <c r="B54" s="94"/>
      <c r="C54" s="101">
        <v>91649.55</v>
      </c>
      <c r="D54" s="102"/>
      <c r="E54" s="35"/>
      <c r="F54" s="38"/>
      <c r="G54" s="38"/>
      <c r="H54" s="93" t="s">
        <v>210</v>
      </c>
      <c r="I54" s="94"/>
      <c r="L54" s="91" t="s">
        <v>195</v>
      </c>
      <c r="M54" s="91"/>
      <c r="N54" s="91"/>
      <c r="O54" s="91"/>
    </row>
    <row r="55" spans="1:17" ht="65.25" customHeight="1" x14ac:dyDescent="0.2">
      <c r="A55" s="86">
        <v>0</v>
      </c>
      <c r="B55" s="87"/>
      <c r="C55" s="97">
        <v>0</v>
      </c>
      <c r="D55" s="98"/>
      <c r="E55" s="37"/>
      <c r="F55" s="86"/>
      <c r="G55" s="87"/>
      <c r="H55" s="86">
        <v>91649.55</v>
      </c>
      <c r="I55" s="86"/>
      <c r="J55" s="28"/>
      <c r="L55" s="91"/>
      <c r="M55" s="91"/>
      <c r="N55" s="91"/>
      <c r="O55" s="91"/>
    </row>
    <row r="56" spans="1:17" x14ac:dyDescent="0.2">
      <c r="E56" s="37"/>
      <c r="F56" s="37"/>
      <c r="G56" s="39"/>
      <c r="H56" s="39"/>
      <c r="I56" s="39"/>
      <c r="L56" s="28"/>
      <c r="N56" s="24"/>
      <c r="O56" s="28"/>
    </row>
    <row r="57" spans="1:17" x14ac:dyDescent="0.2">
      <c r="A57" s="76" t="s">
        <v>125</v>
      </c>
      <c r="B57" s="76"/>
      <c r="C57" s="76"/>
      <c r="D57" s="76"/>
      <c r="E57" s="40"/>
      <c r="F57" s="59" t="s">
        <v>219</v>
      </c>
      <c r="G57" s="59"/>
      <c r="H57" s="59"/>
      <c r="I57" s="59"/>
      <c r="L57" s="27" t="s">
        <v>98</v>
      </c>
      <c r="O57" s="32"/>
    </row>
    <row r="58" spans="1:17" x14ac:dyDescent="0.2">
      <c r="A58" s="79">
        <v>29724.18</v>
      </c>
      <c r="B58" s="107"/>
      <c r="C58" s="80" t="s">
        <v>214</v>
      </c>
      <c r="D58" s="79"/>
      <c r="E58" s="35"/>
      <c r="F58" s="58"/>
      <c r="G58" s="110"/>
      <c r="H58" s="57">
        <f>A34</f>
        <v>990805.67</v>
      </c>
      <c r="I58" s="58"/>
      <c r="L58" s="26" t="s">
        <v>100</v>
      </c>
      <c r="O58" s="32">
        <f>O60/83.75%</f>
        <v>990805.97014925373</v>
      </c>
      <c r="Q58" s="41">
        <f>100%-(1.65%+7.6%+4%+3%)</f>
        <v>0.83750000000000002</v>
      </c>
    </row>
    <row r="59" spans="1:17" x14ac:dyDescent="0.2">
      <c r="A59" s="81"/>
      <c r="B59" s="108"/>
      <c r="C59" s="82"/>
      <c r="D59" s="81"/>
      <c r="E59" s="35"/>
      <c r="F59" s="63">
        <f>C39</f>
        <v>829800</v>
      </c>
      <c r="G59" s="63"/>
      <c r="H59" s="23"/>
      <c r="I59" s="24">
        <f>A58</f>
        <v>29724.18</v>
      </c>
      <c r="L59" s="26" t="s">
        <v>115</v>
      </c>
      <c r="O59" s="32">
        <f>O58</f>
        <v>990805.97014925373</v>
      </c>
    </row>
    <row r="60" spans="1:17" x14ac:dyDescent="0.2">
      <c r="A60" s="79">
        <v>0</v>
      </c>
      <c r="B60" s="107"/>
      <c r="C60" s="109">
        <v>0</v>
      </c>
      <c r="D60" s="99"/>
      <c r="E60" s="35"/>
      <c r="F60" s="63">
        <f>C44</f>
        <v>51000</v>
      </c>
      <c r="G60" s="63"/>
      <c r="H60" s="23"/>
      <c r="I60" s="24"/>
      <c r="L60" s="26" t="s">
        <v>116</v>
      </c>
      <c r="O60" s="32">
        <f>O61</f>
        <v>829800</v>
      </c>
    </row>
    <row r="61" spans="1:17" x14ac:dyDescent="0.2">
      <c r="E61" s="35"/>
      <c r="F61" s="63">
        <f>C49</f>
        <v>39632.239999999998</v>
      </c>
      <c r="G61" s="63"/>
      <c r="H61" s="23"/>
      <c r="I61" s="24"/>
      <c r="L61" s="26" t="s">
        <v>101</v>
      </c>
      <c r="O61" s="32">
        <f>O45+O52</f>
        <v>829800</v>
      </c>
    </row>
    <row r="62" spans="1:17" x14ac:dyDescent="0.2">
      <c r="E62" s="35"/>
      <c r="F62" s="63">
        <f>C54</f>
        <v>91649.55</v>
      </c>
      <c r="G62" s="63"/>
      <c r="H62" s="23"/>
      <c r="I62" s="24"/>
      <c r="L62" s="26" t="s">
        <v>102</v>
      </c>
      <c r="O62" s="32">
        <v>51000</v>
      </c>
    </row>
    <row r="63" spans="1:17" x14ac:dyDescent="0.2">
      <c r="A63" s="42"/>
      <c r="B63" s="42"/>
      <c r="C63" s="42"/>
      <c r="D63" s="42"/>
      <c r="E63" s="35"/>
      <c r="F63" s="63">
        <v>5000</v>
      </c>
      <c r="G63" s="63"/>
      <c r="H63" s="105"/>
      <c r="I63" s="63"/>
      <c r="L63" s="26" t="s">
        <v>203</v>
      </c>
      <c r="O63" s="32">
        <f>O62</f>
        <v>51000</v>
      </c>
    </row>
    <row r="64" spans="1:17" x14ac:dyDescent="0.2">
      <c r="A64" s="42"/>
      <c r="B64" s="42"/>
      <c r="C64" s="42"/>
      <c r="D64" s="42"/>
      <c r="E64" s="35"/>
      <c r="F64" s="103"/>
      <c r="G64" s="103"/>
      <c r="H64" s="104"/>
      <c r="I64" s="103"/>
      <c r="L64" s="26" t="s">
        <v>103</v>
      </c>
      <c r="O64" s="32">
        <f>4%*O58</f>
        <v>39632.238805970148</v>
      </c>
    </row>
    <row r="65" spans="1:15" x14ac:dyDescent="0.2">
      <c r="A65" s="106"/>
      <c r="B65" s="106"/>
      <c r="C65" s="106"/>
      <c r="D65" s="106"/>
      <c r="E65" s="35"/>
      <c r="F65" s="43"/>
      <c r="G65" s="43">
        <f>SUM(F58:G64)</f>
        <v>1017081.79</v>
      </c>
      <c r="H65" s="43"/>
      <c r="I65" s="43">
        <f>SUM(H58:I64)</f>
        <v>1020529.8500000001</v>
      </c>
      <c r="L65" s="26" t="s">
        <v>205</v>
      </c>
      <c r="O65" s="32">
        <f>O64</f>
        <v>39632.238805970148</v>
      </c>
    </row>
    <row r="66" spans="1:15" x14ac:dyDescent="0.2">
      <c r="A66" s="44"/>
      <c r="B66" s="44"/>
      <c r="C66" s="44"/>
      <c r="D66" s="44"/>
      <c r="E66" s="35"/>
      <c r="F66" s="36"/>
      <c r="G66" s="36"/>
      <c r="H66" s="36"/>
      <c r="I66" s="36">
        <f>I65-G65</f>
        <v>3448.0600000000559</v>
      </c>
      <c r="L66" s="26" t="s">
        <v>208</v>
      </c>
      <c r="O66" s="32">
        <f>9.25%*O58</f>
        <v>91649.552238805962</v>
      </c>
    </row>
    <row r="67" spans="1:15" x14ac:dyDescent="0.2">
      <c r="A67" s="44"/>
      <c r="B67" s="44"/>
      <c r="C67" s="44"/>
      <c r="D67" s="44"/>
      <c r="E67" s="35"/>
      <c r="F67" s="44"/>
      <c r="G67" s="44"/>
      <c r="H67" s="44"/>
      <c r="I67" s="44"/>
      <c r="L67" s="26" t="s">
        <v>107</v>
      </c>
      <c r="O67" s="32">
        <f>O66</f>
        <v>91649.552238805962</v>
      </c>
    </row>
    <row r="68" spans="1:15" ht="64.5" customHeight="1" x14ac:dyDescent="0.2">
      <c r="A68" s="36"/>
      <c r="B68" s="44"/>
      <c r="C68" s="44"/>
      <c r="D68" s="44"/>
      <c r="E68" s="35"/>
      <c r="F68" s="36"/>
      <c r="G68" s="44"/>
      <c r="H68" s="44"/>
      <c r="I68" s="44"/>
      <c r="L68" s="91" t="s">
        <v>200</v>
      </c>
      <c r="M68" s="91"/>
      <c r="N68" s="91"/>
      <c r="O68" s="91"/>
    </row>
    <row r="70" spans="1:15" x14ac:dyDescent="0.2">
      <c r="L70" s="27" t="s">
        <v>99</v>
      </c>
      <c r="O70" s="32"/>
    </row>
    <row r="71" spans="1:15" x14ac:dyDescent="0.2">
      <c r="L71" s="26" t="s">
        <v>63</v>
      </c>
      <c r="O71" s="32">
        <v>7000</v>
      </c>
    </row>
    <row r="72" spans="1:15" x14ac:dyDescent="0.2">
      <c r="L72" s="26" t="s">
        <v>64</v>
      </c>
      <c r="O72" s="32">
        <v>7000</v>
      </c>
    </row>
    <row r="73" spans="1:15" x14ac:dyDescent="0.2">
      <c r="O73" s="32"/>
    </row>
    <row r="74" spans="1:15" x14ac:dyDescent="0.2">
      <c r="L74" s="27" t="s">
        <v>117</v>
      </c>
      <c r="O74" s="32"/>
    </row>
    <row r="75" spans="1:15" x14ac:dyDescent="0.2">
      <c r="L75" s="26" t="s">
        <v>118</v>
      </c>
      <c r="O75" s="32">
        <v>5000</v>
      </c>
    </row>
    <row r="76" spans="1:15" x14ac:dyDescent="0.2">
      <c r="L76" s="26" t="s">
        <v>119</v>
      </c>
      <c r="O76" s="32">
        <v>5000</v>
      </c>
    </row>
    <row r="77" spans="1:15" x14ac:dyDescent="0.2">
      <c r="L77" s="91" t="s">
        <v>211</v>
      </c>
      <c r="M77" s="91"/>
      <c r="N77" s="91"/>
      <c r="O77" s="91"/>
    </row>
    <row r="78" spans="1:15" x14ac:dyDescent="0.2">
      <c r="O78" s="32"/>
    </row>
    <row r="79" spans="1:15" x14ac:dyDescent="0.2">
      <c r="L79" s="27" t="s">
        <v>122</v>
      </c>
      <c r="O79" s="32"/>
    </row>
    <row r="80" spans="1:15" x14ac:dyDescent="0.2">
      <c r="L80" s="26" t="s">
        <v>123</v>
      </c>
      <c r="O80" s="32">
        <f>75%*O64</f>
        <v>29724.179104477611</v>
      </c>
    </row>
    <row r="81" spans="1:15" x14ac:dyDescent="0.2">
      <c r="L81" s="26" t="s">
        <v>124</v>
      </c>
      <c r="O81" s="32">
        <f>O80</f>
        <v>29724.179104477611</v>
      </c>
    </row>
    <row r="82" spans="1:15" ht="51.75" customHeight="1" x14ac:dyDescent="0.2">
      <c r="L82" s="91" t="s">
        <v>213</v>
      </c>
      <c r="M82" s="91"/>
      <c r="N82" s="91"/>
      <c r="O82" s="91"/>
    </row>
    <row r="83" spans="1:15" x14ac:dyDescent="0.2">
      <c r="O83" s="32"/>
    </row>
    <row r="84" spans="1:15" x14ac:dyDescent="0.2">
      <c r="L84" s="27" t="s">
        <v>127</v>
      </c>
      <c r="O84" s="32"/>
    </row>
    <row r="85" spans="1:15" x14ac:dyDescent="0.2">
      <c r="L85" s="26" t="s">
        <v>128</v>
      </c>
      <c r="O85" s="32">
        <f>O58-5000</f>
        <v>985805.97014925373</v>
      </c>
    </row>
    <row r="86" spans="1:15" x14ac:dyDescent="0.2">
      <c r="L86" s="26" t="s">
        <v>119</v>
      </c>
      <c r="O86" s="32">
        <f>O85</f>
        <v>985805.97014925373</v>
      </c>
    </row>
    <row r="87" spans="1:15" x14ac:dyDescent="0.2">
      <c r="O87" s="32"/>
    </row>
    <row r="88" spans="1:15" ht="16" thickBot="1" x14ac:dyDescent="0.25">
      <c r="A88" s="112" t="s">
        <v>217</v>
      </c>
      <c r="B88" s="112"/>
      <c r="C88" s="112"/>
      <c r="D88" s="112"/>
    </row>
    <row r="89" spans="1:15" ht="16" thickTop="1" x14ac:dyDescent="0.2">
      <c r="A89" s="113"/>
      <c r="B89" s="113"/>
      <c r="C89" s="113"/>
      <c r="D89" s="113"/>
    </row>
    <row r="90" spans="1:15" x14ac:dyDescent="0.2">
      <c r="A90" s="28" t="s">
        <v>218</v>
      </c>
      <c r="B90" s="24"/>
      <c r="C90" s="28"/>
      <c r="D90" s="24">
        <f>A34</f>
        <v>990805.67</v>
      </c>
    </row>
    <row r="91" spans="1:15" x14ac:dyDescent="0.2">
      <c r="A91" s="26" t="s">
        <v>221</v>
      </c>
      <c r="B91" s="25"/>
      <c r="D91" s="25">
        <f>D92+D93+D94</f>
        <v>182281.78999999998</v>
      </c>
      <c r="E91" s="45"/>
      <c r="F91" s="45"/>
      <c r="G91" s="45"/>
      <c r="H91" s="45"/>
      <c r="I91" s="45"/>
      <c r="J91" s="27"/>
    </row>
    <row r="92" spans="1:15" x14ac:dyDescent="0.2">
      <c r="A92" s="26" t="s">
        <v>222</v>
      </c>
      <c r="B92" s="25"/>
      <c r="D92" s="25">
        <f>C49</f>
        <v>39632.239999999998</v>
      </c>
      <c r="E92" s="46"/>
      <c r="F92" s="46"/>
      <c r="G92" s="46"/>
      <c r="H92" s="46"/>
      <c r="I92" s="46"/>
      <c r="J92" s="27"/>
    </row>
    <row r="93" spans="1:15" x14ac:dyDescent="0.2">
      <c r="A93" s="26" t="s">
        <v>223</v>
      </c>
      <c r="B93" s="25"/>
      <c r="D93" s="25">
        <f>C44</f>
        <v>51000</v>
      </c>
      <c r="E93" s="46"/>
      <c r="F93" s="46"/>
      <c r="G93" s="46"/>
      <c r="H93" s="46"/>
      <c r="I93" s="46"/>
      <c r="J93" s="27"/>
    </row>
    <row r="94" spans="1:15" x14ac:dyDescent="0.2">
      <c r="A94" s="26" t="s">
        <v>224</v>
      </c>
      <c r="B94" s="25"/>
      <c r="D94" s="25">
        <f>C54</f>
        <v>91649.55</v>
      </c>
      <c r="E94" s="46"/>
      <c r="F94" s="46"/>
      <c r="G94" s="46"/>
      <c r="H94" s="46"/>
      <c r="I94" s="46"/>
      <c r="J94" s="27"/>
    </row>
    <row r="95" spans="1:15" x14ac:dyDescent="0.2">
      <c r="A95" s="27" t="s">
        <v>225</v>
      </c>
      <c r="B95" s="27"/>
      <c r="C95" s="27"/>
      <c r="D95" s="47">
        <f>D90-D91</f>
        <v>808523.88000000012</v>
      </c>
      <c r="E95" s="24"/>
      <c r="F95" s="24"/>
      <c r="G95" s="24"/>
      <c r="H95" s="24"/>
      <c r="I95" s="24"/>
    </row>
    <row r="96" spans="1:15" x14ac:dyDescent="0.2">
      <c r="A96" s="26" t="s">
        <v>220</v>
      </c>
      <c r="B96" s="25"/>
      <c r="D96" s="25">
        <f>C39</f>
        <v>829800</v>
      </c>
      <c r="E96" s="46"/>
      <c r="F96" s="46"/>
      <c r="G96" s="46"/>
      <c r="H96" s="46"/>
      <c r="I96" s="46"/>
      <c r="M96" s="26"/>
    </row>
    <row r="97" spans="1:15" x14ac:dyDescent="0.2">
      <c r="A97" s="27" t="s">
        <v>226</v>
      </c>
      <c r="B97" s="27"/>
      <c r="C97" s="27"/>
      <c r="D97" s="47">
        <f>D95-D96</f>
        <v>-21276.119999999879</v>
      </c>
      <c r="E97" s="24"/>
      <c r="F97" s="24"/>
      <c r="G97" s="24"/>
      <c r="H97" s="24"/>
      <c r="I97" s="24"/>
      <c r="M97" s="26"/>
    </row>
    <row r="98" spans="1:15" x14ac:dyDescent="0.2">
      <c r="A98" s="27" t="s">
        <v>227</v>
      </c>
      <c r="B98" s="48"/>
      <c r="C98" s="27"/>
      <c r="D98" s="48">
        <f>D99</f>
        <v>24724.18</v>
      </c>
      <c r="E98" s="24"/>
      <c r="F98" s="24"/>
      <c r="G98" s="24"/>
      <c r="H98" s="24"/>
      <c r="I98" s="24"/>
      <c r="M98" s="26"/>
    </row>
    <row r="99" spans="1:15" x14ac:dyDescent="0.2">
      <c r="A99" s="27" t="s">
        <v>228</v>
      </c>
      <c r="B99" s="48"/>
      <c r="C99" s="27"/>
      <c r="D99" s="48">
        <f>D101-D100</f>
        <v>24724.18</v>
      </c>
      <c r="E99" s="24"/>
      <c r="F99" s="24"/>
      <c r="G99" s="24"/>
      <c r="H99" s="24"/>
      <c r="I99" s="24"/>
      <c r="M99" s="26"/>
    </row>
    <row r="100" spans="1:15" x14ac:dyDescent="0.2">
      <c r="A100" s="26" t="s">
        <v>120</v>
      </c>
      <c r="B100" s="25"/>
      <c r="D100" s="25">
        <f>H39</f>
        <v>5000</v>
      </c>
      <c r="E100" s="46"/>
      <c r="F100" s="46"/>
      <c r="G100" s="46"/>
      <c r="H100" s="46"/>
      <c r="I100" s="46"/>
      <c r="M100" s="26"/>
    </row>
    <row r="101" spans="1:15" x14ac:dyDescent="0.2">
      <c r="A101" s="26" t="s">
        <v>229</v>
      </c>
      <c r="B101" s="25"/>
      <c r="D101" s="25">
        <f>A58</f>
        <v>29724.18</v>
      </c>
      <c r="E101" s="46"/>
      <c r="F101" s="46"/>
      <c r="G101" s="46"/>
      <c r="H101" s="46"/>
      <c r="I101" s="46"/>
      <c r="M101" s="26"/>
    </row>
    <row r="102" spans="1:15" x14ac:dyDescent="0.2">
      <c r="A102" s="27" t="s">
        <v>230</v>
      </c>
      <c r="B102" s="48"/>
      <c r="C102" s="27"/>
      <c r="D102" s="48">
        <f>D97+D98</f>
        <v>3448.0600000001214</v>
      </c>
      <c r="E102" s="28"/>
      <c r="F102" s="28"/>
      <c r="G102" s="28"/>
      <c r="H102" s="28"/>
      <c r="I102" s="24"/>
      <c r="M102" s="26"/>
    </row>
    <row r="103" spans="1:15" x14ac:dyDescent="0.2">
      <c r="B103" s="25"/>
      <c r="D103" s="25"/>
      <c r="E103" s="24"/>
      <c r="F103" s="24"/>
      <c r="G103" s="24"/>
      <c r="H103" s="24"/>
      <c r="I103" s="24"/>
      <c r="M103" s="26"/>
    </row>
    <row r="104" spans="1:15" x14ac:dyDescent="0.2">
      <c r="A104" s="24"/>
      <c r="B104" s="24"/>
      <c r="C104" s="24"/>
      <c r="D104" s="24"/>
      <c r="E104" s="63"/>
      <c r="F104" s="63"/>
      <c r="G104" s="63"/>
      <c r="H104" s="63"/>
      <c r="I104" s="24"/>
      <c r="M104" s="26"/>
    </row>
    <row r="105" spans="1:15" x14ac:dyDescent="0.2">
      <c r="A105" s="46"/>
      <c r="B105" s="46"/>
      <c r="C105" s="46"/>
      <c r="D105" s="46"/>
      <c r="E105" s="111"/>
      <c r="F105" s="111"/>
      <c r="G105" s="111"/>
      <c r="H105" s="111"/>
      <c r="I105" s="46"/>
      <c r="M105" s="26"/>
    </row>
    <row r="106" spans="1:15" x14ac:dyDescent="0.2">
      <c r="A106" s="24"/>
      <c r="B106" s="24"/>
      <c r="C106" s="24"/>
      <c r="D106" s="24"/>
      <c r="E106" s="24"/>
      <c r="F106" s="24"/>
      <c r="G106" s="24"/>
      <c r="H106" s="24"/>
      <c r="I106" s="24"/>
      <c r="M106" s="26"/>
    </row>
    <row r="107" spans="1:15" x14ac:dyDescent="0.2">
      <c r="A107" s="24"/>
      <c r="B107" s="24"/>
      <c r="C107" s="24"/>
      <c r="D107" s="24"/>
      <c r="E107" s="24"/>
      <c r="F107" s="24"/>
      <c r="G107" s="24"/>
      <c r="H107" s="24"/>
      <c r="I107" s="24"/>
      <c r="O107" s="25"/>
    </row>
    <row r="108" spans="1:15" x14ac:dyDescent="0.2">
      <c r="A108" s="24"/>
      <c r="B108" s="24"/>
      <c r="C108" s="24"/>
      <c r="D108" s="24"/>
      <c r="E108" s="24"/>
      <c r="F108" s="24"/>
      <c r="G108" s="24"/>
      <c r="H108" s="24"/>
      <c r="I108" s="24"/>
      <c r="O108" s="25"/>
    </row>
    <row r="109" spans="1:15" x14ac:dyDescent="0.2">
      <c r="A109" s="28"/>
      <c r="B109" s="28"/>
      <c r="C109" s="28"/>
      <c r="D109" s="28"/>
      <c r="E109" s="24"/>
      <c r="F109" s="24"/>
      <c r="G109" s="28"/>
      <c r="H109" s="28"/>
      <c r="I109" s="28"/>
    </row>
    <row r="110" spans="1:15" x14ac:dyDescent="0.2">
      <c r="A110" s="28"/>
      <c r="B110" s="28"/>
      <c r="C110" s="28"/>
      <c r="D110" s="28"/>
      <c r="E110" s="24"/>
      <c r="F110" s="24"/>
      <c r="G110" s="28"/>
      <c r="H110" s="28"/>
      <c r="I110" s="28"/>
    </row>
    <row r="111" spans="1:15" x14ac:dyDescent="0.2">
      <c r="A111" s="28"/>
      <c r="B111" s="28"/>
      <c r="C111" s="28"/>
      <c r="D111" s="28"/>
      <c r="E111" s="24"/>
      <c r="F111" s="24"/>
      <c r="G111" s="28"/>
      <c r="H111" s="28"/>
      <c r="I111" s="28"/>
    </row>
    <row r="112" spans="1:15" x14ac:dyDescent="0.2">
      <c r="A112" s="28"/>
      <c r="B112" s="28"/>
      <c r="C112" s="28"/>
      <c r="D112" s="28"/>
      <c r="E112" s="24"/>
      <c r="F112" s="24"/>
      <c r="G112" s="28"/>
      <c r="H112" s="28"/>
      <c r="I112" s="28"/>
    </row>
    <row r="113" spans="1:9" x14ac:dyDescent="0.2">
      <c r="A113" s="28"/>
      <c r="B113" s="28"/>
      <c r="C113" s="28"/>
      <c r="D113" s="28"/>
      <c r="E113" s="24"/>
      <c r="F113" s="24"/>
      <c r="G113" s="28"/>
      <c r="H113" s="28"/>
      <c r="I113" s="28"/>
    </row>
  </sheetData>
  <mergeCells count="166">
    <mergeCell ref="E105:H105"/>
    <mergeCell ref="A88:D88"/>
    <mergeCell ref="A89:D89"/>
    <mergeCell ref="E104:H104"/>
    <mergeCell ref="C59:D59"/>
    <mergeCell ref="C9:D9"/>
    <mergeCell ref="A41:B41"/>
    <mergeCell ref="C41:D41"/>
    <mergeCell ref="F41:G41"/>
    <mergeCell ref="H41:I41"/>
    <mergeCell ref="A46:B46"/>
    <mergeCell ref="C46:D46"/>
    <mergeCell ref="H46:I46"/>
    <mergeCell ref="A26:B26"/>
    <mergeCell ref="C26:D26"/>
    <mergeCell ref="H26:I26"/>
    <mergeCell ref="F26:G26"/>
    <mergeCell ref="A31:B31"/>
    <mergeCell ref="C31:D31"/>
    <mergeCell ref="F38:I38"/>
    <mergeCell ref="F39:G39"/>
    <mergeCell ref="H39:I39"/>
    <mergeCell ref="F40:G40"/>
    <mergeCell ref="H40:I40"/>
    <mergeCell ref="A65:D65"/>
    <mergeCell ref="A58:B58"/>
    <mergeCell ref="A59:B59"/>
    <mergeCell ref="A60:B60"/>
    <mergeCell ref="L82:O82"/>
    <mergeCell ref="A57:D57"/>
    <mergeCell ref="C58:D58"/>
    <mergeCell ref="C60:D60"/>
    <mergeCell ref="F57:I57"/>
    <mergeCell ref="F58:G58"/>
    <mergeCell ref="H58:I58"/>
    <mergeCell ref="F59:G59"/>
    <mergeCell ref="F60:G60"/>
    <mergeCell ref="F63:G63"/>
    <mergeCell ref="L77:O77"/>
    <mergeCell ref="A48:D48"/>
    <mergeCell ref="A49:B49"/>
    <mergeCell ref="C49:D49"/>
    <mergeCell ref="A50:B50"/>
    <mergeCell ref="C50:D50"/>
    <mergeCell ref="A53:D53"/>
    <mergeCell ref="A54:B54"/>
    <mergeCell ref="C55:D55"/>
    <mergeCell ref="A55:B55"/>
    <mergeCell ref="A51:B51"/>
    <mergeCell ref="C51:D51"/>
    <mergeCell ref="C54:D54"/>
    <mergeCell ref="L54:O54"/>
    <mergeCell ref="L55:O55"/>
    <mergeCell ref="L68:O68"/>
    <mergeCell ref="F33:I33"/>
    <mergeCell ref="F34:G34"/>
    <mergeCell ref="H34:I34"/>
    <mergeCell ref="F35:G35"/>
    <mergeCell ref="H35:I35"/>
    <mergeCell ref="F53:I53"/>
    <mergeCell ref="H54:I54"/>
    <mergeCell ref="H36:I36"/>
    <mergeCell ref="F36:G36"/>
    <mergeCell ref="F50:G50"/>
    <mergeCell ref="H50:I50"/>
    <mergeCell ref="F55:G55"/>
    <mergeCell ref="H55:I55"/>
    <mergeCell ref="H51:I51"/>
    <mergeCell ref="F64:G64"/>
    <mergeCell ref="H64:I64"/>
    <mergeCell ref="F61:G61"/>
    <mergeCell ref="F62:G62"/>
    <mergeCell ref="H63:I63"/>
    <mergeCell ref="L14:O14"/>
    <mergeCell ref="H5:I5"/>
    <mergeCell ref="L28:O28"/>
    <mergeCell ref="F7:G7"/>
    <mergeCell ref="F8:G8"/>
    <mergeCell ref="L23:O23"/>
    <mergeCell ref="H9:I9"/>
    <mergeCell ref="F9:G9"/>
    <mergeCell ref="F15:G15"/>
    <mergeCell ref="H15:I15"/>
    <mergeCell ref="F21:G21"/>
    <mergeCell ref="H21:I21"/>
    <mergeCell ref="F23:I23"/>
    <mergeCell ref="F24:G24"/>
    <mergeCell ref="H24:I24"/>
    <mergeCell ref="F25:G25"/>
    <mergeCell ref="H25:I25"/>
    <mergeCell ref="F18:I18"/>
    <mergeCell ref="F19:G19"/>
    <mergeCell ref="H19:I19"/>
    <mergeCell ref="F20:G20"/>
    <mergeCell ref="C24:D24"/>
    <mergeCell ref="A25:B25"/>
    <mergeCell ref="C25:D25"/>
    <mergeCell ref="A35:B35"/>
    <mergeCell ref="C35:D35"/>
    <mergeCell ref="A40:B40"/>
    <mergeCell ref="C40:D40"/>
    <mergeCell ref="A36:B36"/>
    <mergeCell ref="C36:D36"/>
    <mergeCell ref="A33:D33"/>
    <mergeCell ref="A38:D38"/>
    <mergeCell ref="A34:B34"/>
    <mergeCell ref="C34:D34"/>
    <mergeCell ref="A39:B39"/>
    <mergeCell ref="C39:D39"/>
    <mergeCell ref="C5:D5"/>
    <mergeCell ref="C6:D6"/>
    <mergeCell ref="C7:D7"/>
    <mergeCell ref="C8:D8"/>
    <mergeCell ref="F48:I48"/>
    <mergeCell ref="F49:G49"/>
    <mergeCell ref="H49:I49"/>
    <mergeCell ref="F43:I43"/>
    <mergeCell ref="F44:G44"/>
    <mergeCell ref="H44:I44"/>
    <mergeCell ref="F45:G45"/>
    <mergeCell ref="H45:I45"/>
    <mergeCell ref="A43:D43"/>
    <mergeCell ref="A44:B44"/>
    <mergeCell ref="C44:D44"/>
    <mergeCell ref="A45:B45"/>
    <mergeCell ref="C45:D45"/>
    <mergeCell ref="A28:D28"/>
    <mergeCell ref="A29:B29"/>
    <mergeCell ref="C29:D29"/>
    <mergeCell ref="A30:B30"/>
    <mergeCell ref="C30:D30"/>
    <mergeCell ref="A23:D23"/>
    <mergeCell ref="A24:B24"/>
    <mergeCell ref="F3:G3"/>
    <mergeCell ref="F5:G5"/>
    <mergeCell ref="F14:G14"/>
    <mergeCell ref="A18:D18"/>
    <mergeCell ref="A19:B19"/>
    <mergeCell ref="C19:D19"/>
    <mergeCell ref="A20:B20"/>
    <mergeCell ref="C20:D20"/>
    <mergeCell ref="A2:D2"/>
    <mergeCell ref="F12:I12"/>
    <mergeCell ref="A3:B3"/>
    <mergeCell ref="C3:D3"/>
    <mergeCell ref="F13:G13"/>
    <mergeCell ref="H13:I13"/>
    <mergeCell ref="F6:G6"/>
    <mergeCell ref="A4:B4"/>
    <mergeCell ref="C4:D4"/>
    <mergeCell ref="F2:I2"/>
    <mergeCell ref="H3:I3"/>
    <mergeCell ref="F4:G4"/>
    <mergeCell ref="H4:I4"/>
    <mergeCell ref="A9:B9"/>
    <mergeCell ref="H14:I14"/>
    <mergeCell ref="A5:B5"/>
    <mergeCell ref="A21:B21"/>
    <mergeCell ref="C21:D21"/>
    <mergeCell ref="A12:D12"/>
    <mergeCell ref="A14:B14"/>
    <mergeCell ref="C14:D14"/>
    <mergeCell ref="A15:B15"/>
    <mergeCell ref="C15:D15"/>
    <mergeCell ref="A13:B13"/>
    <mergeCell ref="C13:D13"/>
  </mergeCells>
  <pageMargins left="0.511811024" right="0.511811024" top="0.78740157499999996" bottom="0.78740157499999996" header="0.31496062000000002" footer="0.31496062000000002"/>
  <pageSetup paperSize="9" orientation="portrait" r:id="rId1"/>
  <ignoredErrors>
    <ignoredError sqref="O64:O6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F34E-613B-1848-8BEF-CC14DFDBC5D8}">
  <dimension ref="A2:Q91"/>
  <sheetViews>
    <sheetView showGridLines="0" zoomScale="160" zoomScaleNormal="160" workbookViewId="0">
      <selection activeCell="I13" sqref="I13"/>
    </sheetView>
  </sheetViews>
  <sheetFormatPr baseColWidth="10" defaultColWidth="9.1640625" defaultRowHeight="15" x14ac:dyDescent="0.2"/>
  <cols>
    <col min="1" max="1" width="9.1640625" style="52"/>
    <col min="2" max="2" width="14" style="52" customWidth="1"/>
    <col min="3" max="4" width="9.1640625" style="52"/>
    <col min="5" max="5" width="2.6640625" style="25" customWidth="1"/>
    <col min="6" max="6" width="11.6640625" style="25" customWidth="1"/>
    <col min="7" max="7" width="9.1640625" style="52"/>
    <col min="8" max="8" width="11.5" style="52" customWidth="1"/>
    <col min="9" max="9" width="9.1640625" style="52"/>
    <col min="10" max="10" width="3.5" style="52" customWidth="1"/>
    <col min="11" max="11" width="3" style="52" customWidth="1"/>
    <col min="12" max="12" width="35.1640625" style="52" customWidth="1"/>
    <col min="13" max="13" width="15.5" style="25" customWidth="1"/>
    <col min="14" max="14" width="9.1640625" style="52"/>
    <col min="15" max="15" width="12.6640625" style="52" bestFit="1" customWidth="1"/>
    <col min="16" max="16" width="11.1640625" style="52" bestFit="1" customWidth="1"/>
    <col min="17" max="18" width="9.1640625" style="52"/>
    <col min="19" max="19" width="11.1640625" style="52" bestFit="1" customWidth="1"/>
    <col min="20" max="16384" width="9.1640625" style="52"/>
  </cols>
  <sheetData>
    <row r="2" spans="1:15" x14ac:dyDescent="0.2">
      <c r="A2" s="59" t="s">
        <v>2</v>
      </c>
      <c r="B2" s="59"/>
      <c r="C2" s="59"/>
      <c r="D2" s="59"/>
      <c r="F2" s="59" t="s">
        <v>76</v>
      </c>
      <c r="G2" s="59"/>
      <c r="H2" s="59"/>
      <c r="I2" s="59"/>
      <c r="L2" s="27" t="s">
        <v>129</v>
      </c>
    </row>
    <row r="3" spans="1:15" x14ac:dyDescent="0.2">
      <c r="A3" s="64" t="s">
        <v>139</v>
      </c>
      <c r="B3" s="65"/>
      <c r="C3" s="55" t="s">
        <v>79</v>
      </c>
      <c r="D3" s="56"/>
      <c r="F3" s="51" t="s">
        <v>83</v>
      </c>
      <c r="G3" s="51"/>
      <c r="H3" s="66" t="s">
        <v>162</v>
      </c>
      <c r="I3" s="64"/>
      <c r="L3" s="52" t="s">
        <v>130</v>
      </c>
      <c r="O3" s="25">
        <v>60000</v>
      </c>
    </row>
    <row r="4" spans="1:15" x14ac:dyDescent="0.2">
      <c r="A4" s="55" t="s">
        <v>177</v>
      </c>
      <c r="B4" s="56"/>
      <c r="C4" s="53" t="s">
        <v>90</v>
      </c>
      <c r="D4" s="54"/>
      <c r="F4" s="51" t="s">
        <v>87</v>
      </c>
      <c r="G4" s="51"/>
      <c r="H4" s="55"/>
      <c r="I4" s="56"/>
      <c r="L4" s="52" t="s">
        <v>131</v>
      </c>
      <c r="O4" s="25">
        <v>60000</v>
      </c>
    </row>
    <row r="5" spans="1:15" x14ac:dyDescent="0.2">
      <c r="A5" s="56" t="s">
        <v>239</v>
      </c>
      <c r="B5" s="56"/>
      <c r="C5" s="72" t="s">
        <v>178</v>
      </c>
      <c r="D5" s="73"/>
      <c r="F5" s="51" t="s">
        <v>92</v>
      </c>
      <c r="G5" s="51"/>
      <c r="H5" s="50"/>
      <c r="I5" s="51"/>
    </row>
    <row r="6" spans="1:15" x14ac:dyDescent="0.2">
      <c r="A6" s="51"/>
      <c r="B6" s="51"/>
      <c r="C6" s="72"/>
      <c r="D6" s="73"/>
      <c r="F6" s="56"/>
      <c r="G6" s="56"/>
      <c r="H6" s="50"/>
      <c r="L6" s="27"/>
    </row>
    <row r="7" spans="1:15" x14ac:dyDescent="0.2">
      <c r="L7" s="27" t="s">
        <v>55</v>
      </c>
    </row>
    <row r="8" spans="1:15" x14ac:dyDescent="0.2">
      <c r="L8" s="52" t="s">
        <v>66</v>
      </c>
      <c r="O8" s="33">
        <v>50000</v>
      </c>
    </row>
    <row r="9" spans="1:15" x14ac:dyDescent="0.2">
      <c r="A9" s="59" t="s">
        <v>132</v>
      </c>
      <c r="B9" s="59"/>
      <c r="C9" s="59"/>
      <c r="D9" s="59"/>
      <c r="F9" s="59" t="s">
        <v>133</v>
      </c>
      <c r="G9" s="59"/>
      <c r="H9" s="59"/>
      <c r="I9" s="59"/>
      <c r="L9" s="52" t="s">
        <v>80</v>
      </c>
      <c r="O9" s="33">
        <v>50000</v>
      </c>
    </row>
    <row r="10" spans="1:15" x14ac:dyDescent="0.2">
      <c r="A10" s="64" t="s">
        <v>140</v>
      </c>
      <c r="B10" s="65"/>
      <c r="C10" s="66" t="s">
        <v>139</v>
      </c>
      <c r="D10" s="64"/>
      <c r="F10" s="64" t="s">
        <v>169</v>
      </c>
      <c r="G10" s="65"/>
      <c r="H10" s="66" t="s">
        <v>83</v>
      </c>
      <c r="I10" s="64"/>
    </row>
    <row r="11" spans="1:15" x14ac:dyDescent="0.2">
      <c r="A11" s="70"/>
      <c r="B11" s="67"/>
      <c r="C11" s="55"/>
      <c r="D11" s="56"/>
      <c r="F11" s="70"/>
      <c r="G11" s="67"/>
      <c r="H11" s="55"/>
      <c r="I11" s="56"/>
      <c r="L11" s="27" t="s">
        <v>57</v>
      </c>
    </row>
    <row r="12" spans="1:15" ht="16" x14ac:dyDescent="0.2">
      <c r="A12" s="56"/>
      <c r="B12" s="56"/>
      <c r="C12" s="56"/>
      <c r="D12" s="56"/>
      <c r="L12" s="34" t="s">
        <v>19</v>
      </c>
      <c r="O12" s="25">
        <v>150000</v>
      </c>
    </row>
    <row r="13" spans="1:15" ht="16" x14ac:dyDescent="0.2">
      <c r="L13" s="34" t="s">
        <v>134</v>
      </c>
      <c r="O13" s="25">
        <v>150000</v>
      </c>
    </row>
    <row r="14" spans="1:15" ht="72" customHeight="1" x14ac:dyDescent="0.2">
      <c r="L14" s="138" t="s">
        <v>231</v>
      </c>
      <c r="M14" s="138"/>
      <c r="N14" s="138"/>
      <c r="O14" s="138"/>
    </row>
    <row r="15" spans="1:15" x14ac:dyDescent="0.2">
      <c r="J15" s="25"/>
    </row>
    <row r="16" spans="1:15" x14ac:dyDescent="0.2">
      <c r="A16" s="59" t="s">
        <v>93</v>
      </c>
      <c r="B16" s="59"/>
      <c r="C16" s="59"/>
      <c r="D16" s="59"/>
      <c r="F16" s="59" t="s">
        <v>78</v>
      </c>
      <c r="G16" s="59"/>
      <c r="H16" s="59"/>
      <c r="I16" s="59"/>
      <c r="J16" s="25"/>
      <c r="L16" s="27" t="s">
        <v>61</v>
      </c>
    </row>
    <row r="17" spans="1:17" x14ac:dyDescent="0.2">
      <c r="A17" s="56" t="s">
        <v>165</v>
      </c>
      <c r="B17" s="56"/>
      <c r="C17" s="66" t="s">
        <v>167</v>
      </c>
      <c r="D17" s="64"/>
      <c r="F17" s="56" t="s">
        <v>79</v>
      </c>
      <c r="G17" s="56"/>
      <c r="H17" s="66" t="s">
        <v>91</v>
      </c>
      <c r="I17" s="64"/>
      <c r="J17" s="25"/>
      <c r="L17" s="52" t="s">
        <v>49</v>
      </c>
      <c r="O17" s="25">
        <v>55000</v>
      </c>
    </row>
    <row r="18" spans="1:17" x14ac:dyDescent="0.2">
      <c r="A18" s="56" t="s">
        <v>96</v>
      </c>
      <c r="B18" s="56"/>
      <c r="C18" s="55"/>
      <c r="D18" s="56"/>
      <c r="F18" s="56"/>
      <c r="G18" s="56"/>
      <c r="H18" s="55"/>
      <c r="I18" s="56"/>
      <c r="J18" s="25"/>
      <c r="L18" s="52" t="s">
        <v>60</v>
      </c>
      <c r="O18" s="25">
        <v>55000</v>
      </c>
    </row>
    <row r="19" spans="1:17" x14ac:dyDescent="0.2">
      <c r="A19" s="49"/>
      <c r="B19" s="51"/>
      <c r="C19" s="50"/>
      <c r="D19" s="51"/>
      <c r="F19" s="49"/>
      <c r="G19" s="51"/>
      <c r="H19" s="50"/>
      <c r="I19" s="51"/>
      <c r="J19" s="25"/>
      <c r="O19" s="25"/>
    </row>
    <row r="20" spans="1:17" x14ac:dyDescent="0.2">
      <c r="L20" s="27" t="s">
        <v>62</v>
      </c>
      <c r="O20" s="25"/>
    </row>
    <row r="21" spans="1:17" x14ac:dyDescent="0.2">
      <c r="A21" s="59" t="s">
        <v>88</v>
      </c>
      <c r="B21" s="59"/>
      <c r="C21" s="59"/>
      <c r="D21" s="59"/>
      <c r="F21" s="59" t="s">
        <v>146</v>
      </c>
      <c r="G21" s="59"/>
      <c r="H21" s="59"/>
      <c r="I21" s="59"/>
      <c r="L21" s="52" t="s">
        <v>63</v>
      </c>
      <c r="O21" s="32">
        <f>O18</f>
        <v>55000</v>
      </c>
    </row>
    <row r="22" spans="1:17" x14ac:dyDescent="0.2">
      <c r="A22" s="56" t="s">
        <v>89</v>
      </c>
      <c r="B22" s="56"/>
      <c r="C22" s="66" t="s">
        <v>87</v>
      </c>
      <c r="D22" s="64"/>
      <c r="F22" s="56"/>
      <c r="G22" s="56"/>
      <c r="H22" s="66" t="s">
        <v>174</v>
      </c>
      <c r="I22" s="64"/>
      <c r="L22" s="52" t="s">
        <v>67</v>
      </c>
      <c r="O22" s="32">
        <f>O9</f>
        <v>50000</v>
      </c>
    </row>
    <row r="23" spans="1:17" x14ac:dyDescent="0.2">
      <c r="A23" s="139" t="s">
        <v>178</v>
      </c>
      <c r="B23" s="139"/>
      <c r="C23" s="55" t="s">
        <v>92</v>
      </c>
      <c r="D23" s="56"/>
      <c r="F23" s="56"/>
      <c r="G23" s="56"/>
      <c r="H23" s="55"/>
      <c r="I23" s="56"/>
      <c r="L23" s="52" t="s">
        <v>64</v>
      </c>
      <c r="O23" s="32">
        <f>O21-O22</f>
        <v>5000</v>
      </c>
    </row>
    <row r="24" spans="1:17" x14ac:dyDescent="0.2">
      <c r="A24" s="49"/>
      <c r="B24" s="51"/>
      <c r="C24" s="140" t="s">
        <v>232</v>
      </c>
      <c r="D24" s="141"/>
      <c r="F24" s="49"/>
      <c r="G24" s="51"/>
      <c r="H24" s="50"/>
      <c r="I24" s="51"/>
      <c r="O24" s="25"/>
    </row>
    <row r="25" spans="1:17" x14ac:dyDescent="0.2">
      <c r="L25" s="27" t="s">
        <v>135</v>
      </c>
      <c r="O25" s="32"/>
    </row>
    <row r="26" spans="1:17" x14ac:dyDescent="0.2">
      <c r="L26" s="52" t="s">
        <v>49</v>
      </c>
      <c r="O26" s="32">
        <v>7000</v>
      </c>
    </row>
    <row r="27" spans="1:17" x14ac:dyDescent="0.2">
      <c r="A27" s="59" t="s">
        <v>94</v>
      </c>
      <c r="B27" s="59"/>
      <c r="C27" s="59"/>
      <c r="D27" s="59"/>
      <c r="F27" s="59" t="s">
        <v>109</v>
      </c>
      <c r="G27" s="59"/>
      <c r="H27" s="59"/>
      <c r="I27" s="59"/>
      <c r="L27" s="52" t="s">
        <v>65</v>
      </c>
      <c r="O27" s="32">
        <v>7000</v>
      </c>
    </row>
    <row r="28" spans="1:17" x14ac:dyDescent="0.2">
      <c r="A28" s="56" t="s">
        <v>95</v>
      </c>
      <c r="B28" s="56"/>
      <c r="C28" s="66"/>
      <c r="D28" s="64"/>
      <c r="F28" s="56"/>
      <c r="G28" s="56"/>
      <c r="H28" s="66" t="s">
        <v>110</v>
      </c>
      <c r="I28" s="64"/>
      <c r="O28" s="32"/>
    </row>
    <row r="29" spans="1:17" ht="30" customHeight="1" x14ac:dyDescent="0.2">
      <c r="A29" s="56"/>
      <c r="B29" s="56"/>
      <c r="C29" s="55"/>
      <c r="D29" s="56"/>
      <c r="F29" s="56"/>
      <c r="G29" s="56"/>
      <c r="H29" s="55"/>
      <c r="I29" s="56"/>
      <c r="L29" s="27" t="s">
        <v>74</v>
      </c>
      <c r="O29" s="32"/>
    </row>
    <row r="30" spans="1:17" x14ac:dyDescent="0.2">
      <c r="A30" s="49"/>
      <c r="B30" s="51"/>
      <c r="C30" s="50"/>
      <c r="D30" s="51"/>
      <c r="F30" s="49"/>
      <c r="G30" s="51"/>
      <c r="H30" s="50"/>
      <c r="I30" s="51"/>
      <c r="L30" s="52" t="s">
        <v>68</v>
      </c>
      <c r="O30" s="32">
        <f>SUM(O31:O33)</f>
        <v>756500</v>
      </c>
    </row>
    <row r="31" spans="1:17" x14ac:dyDescent="0.2">
      <c r="L31" s="52" t="s">
        <v>69</v>
      </c>
      <c r="O31" s="32">
        <f>O12+O17+O26</f>
        <v>212000</v>
      </c>
      <c r="P31" s="32"/>
      <c r="Q31" s="142"/>
    </row>
    <row r="32" spans="1:17" x14ac:dyDescent="0.2">
      <c r="A32" s="59" t="s">
        <v>108</v>
      </c>
      <c r="B32" s="59"/>
      <c r="C32" s="59"/>
      <c r="D32" s="59"/>
      <c r="F32" s="59" t="s">
        <v>111</v>
      </c>
      <c r="G32" s="59"/>
      <c r="H32" s="59"/>
      <c r="I32" s="59"/>
      <c r="L32" s="52" t="s">
        <v>161</v>
      </c>
      <c r="O32" s="32">
        <f>499500</f>
        <v>499500</v>
      </c>
      <c r="P32" s="52" t="s">
        <v>170</v>
      </c>
      <c r="Q32" s="143"/>
    </row>
    <row r="33" spans="1:16" x14ac:dyDescent="0.2">
      <c r="A33" s="56" t="s">
        <v>166</v>
      </c>
      <c r="B33" s="56"/>
      <c r="C33" s="66" t="s">
        <v>121</v>
      </c>
      <c r="D33" s="64"/>
      <c r="F33" s="56" t="s">
        <v>126</v>
      </c>
      <c r="G33" s="56"/>
      <c r="H33" s="66" t="s">
        <v>113</v>
      </c>
      <c r="I33" s="64"/>
      <c r="L33" s="52" t="s">
        <v>70</v>
      </c>
      <c r="O33" s="32">
        <v>45000</v>
      </c>
    </row>
    <row r="34" spans="1:16" x14ac:dyDescent="0.2">
      <c r="A34" s="56" t="s">
        <v>238</v>
      </c>
      <c r="B34" s="56"/>
      <c r="C34" s="55" t="s">
        <v>169</v>
      </c>
      <c r="D34" s="56"/>
      <c r="F34" s="56"/>
      <c r="G34" s="56"/>
      <c r="H34" s="55"/>
      <c r="I34" s="56"/>
    </row>
    <row r="35" spans="1:16" x14ac:dyDescent="0.2">
      <c r="A35" s="49"/>
      <c r="B35" s="51"/>
      <c r="C35" s="55" t="s">
        <v>141</v>
      </c>
      <c r="D35" s="56"/>
      <c r="F35" s="49"/>
      <c r="G35" s="51"/>
      <c r="H35" s="50"/>
      <c r="I35" s="51"/>
      <c r="L35" s="27" t="s">
        <v>97</v>
      </c>
    </row>
    <row r="36" spans="1:16" x14ac:dyDescent="0.2">
      <c r="A36" s="49"/>
      <c r="B36" s="51"/>
      <c r="C36" s="55" t="s">
        <v>177</v>
      </c>
      <c r="D36" s="56"/>
      <c r="F36" s="49"/>
      <c r="G36" s="51"/>
      <c r="H36" s="51"/>
      <c r="I36" s="51"/>
      <c r="L36" s="52" t="s">
        <v>68</v>
      </c>
      <c r="O36" s="32">
        <v>30000</v>
      </c>
    </row>
    <row r="37" spans="1:16" x14ac:dyDescent="0.2">
      <c r="A37" s="49"/>
      <c r="B37" s="51"/>
      <c r="C37" s="55" t="s">
        <v>147</v>
      </c>
      <c r="D37" s="56"/>
      <c r="F37" s="49"/>
      <c r="G37" s="51"/>
      <c r="H37" s="51"/>
      <c r="I37" s="51"/>
      <c r="L37" s="52" t="s">
        <v>65</v>
      </c>
      <c r="O37" s="32">
        <v>30000</v>
      </c>
    </row>
    <row r="38" spans="1:16" x14ac:dyDescent="0.2">
      <c r="O38" s="32"/>
    </row>
    <row r="39" spans="1:16" x14ac:dyDescent="0.2">
      <c r="A39" s="59" t="s">
        <v>120</v>
      </c>
      <c r="B39" s="59"/>
      <c r="C39" s="59"/>
      <c r="D39" s="59"/>
      <c r="F39" s="59" t="s">
        <v>125</v>
      </c>
      <c r="G39" s="59"/>
      <c r="H39" s="59"/>
      <c r="I39" s="59"/>
      <c r="L39" s="27" t="s">
        <v>98</v>
      </c>
      <c r="O39" s="32"/>
    </row>
    <row r="40" spans="1:16" x14ac:dyDescent="0.2">
      <c r="A40" s="56" t="s">
        <v>121</v>
      </c>
      <c r="B40" s="56"/>
      <c r="C40" s="66"/>
      <c r="D40" s="64"/>
      <c r="F40" s="56"/>
      <c r="G40" s="56"/>
      <c r="H40" s="66" t="s">
        <v>126</v>
      </c>
      <c r="I40" s="64"/>
      <c r="L40" s="52" t="s">
        <v>100</v>
      </c>
      <c r="O40" s="32">
        <f>O41+O42+O43-O44</f>
        <v>383000</v>
      </c>
    </row>
    <row r="41" spans="1:16" x14ac:dyDescent="0.2">
      <c r="A41" s="56"/>
      <c r="B41" s="56"/>
      <c r="C41" s="55"/>
      <c r="D41" s="56"/>
      <c r="F41" s="56"/>
      <c r="G41" s="56"/>
      <c r="H41" s="55"/>
      <c r="I41" s="56"/>
      <c r="L41" s="52" t="s">
        <v>101</v>
      </c>
      <c r="O41" s="32">
        <f>O36+O30</f>
        <v>786500</v>
      </c>
    </row>
    <row r="42" spans="1:16" x14ac:dyDescent="0.2">
      <c r="A42" s="49"/>
      <c r="B42" s="51"/>
      <c r="C42" s="50"/>
      <c r="D42" s="51"/>
      <c r="F42" s="49"/>
      <c r="G42" s="51"/>
      <c r="H42" s="50"/>
      <c r="I42" s="51"/>
      <c r="L42" s="52" t="s">
        <v>102</v>
      </c>
      <c r="O42" s="32">
        <v>51000</v>
      </c>
    </row>
    <row r="43" spans="1:16" x14ac:dyDescent="0.2">
      <c r="L43" s="52" t="s">
        <v>103</v>
      </c>
      <c r="O43" s="32">
        <v>45000</v>
      </c>
      <c r="P43" s="143"/>
    </row>
    <row r="44" spans="1:16" x14ac:dyDescent="0.2">
      <c r="A44" s="59" t="s">
        <v>163</v>
      </c>
      <c r="B44" s="59"/>
      <c r="C44" s="59"/>
      <c r="D44" s="59"/>
      <c r="F44" s="59" t="s">
        <v>172</v>
      </c>
      <c r="G44" s="59"/>
      <c r="H44" s="59"/>
      <c r="I44" s="59"/>
      <c r="L44" s="52" t="s">
        <v>161</v>
      </c>
      <c r="O44" s="32">
        <f>O32</f>
        <v>499500</v>
      </c>
    </row>
    <row r="45" spans="1:16" x14ac:dyDescent="0.2">
      <c r="A45" s="56" t="s">
        <v>168</v>
      </c>
      <c r="B45" s="56"/>
      <c r="C45" s="66" t="s">
        <v>164</v>
      </c>
      <c r="D45" s="64"/>
      <c r="F45" s="56"/>
      <c r="G45" s="56"/>
      <c r="H45" s="66" t="s">
        <v>173</v>
      </c>
      <c r="I45" s="64"/>
    </row>
    <row r="46" spans="1:16" x14ac:dyDescent="0.2">
      <c r="A46" s="56"/>
      <c r="B46" s="56"/>
      <c r="C46" s="55"/>
      <c r="D46" s="56"/>
      <c r="F46" s="56"/>
      <c r="G46" s="56"/>
      <c r="H46" s="55"/>
      <c r="I46" s="56"/>
      <c r="L46" s="27" t="s">
        <v>99</v>
      </c>
      <c r="O46" s="32"/>
    </row>
    <row r="47" spans="1:16" x14ac:dyDescent="0.2">
      <c r="A47" s="49"/>
      <c r="B47" s="51"/>
      <c r="C47" s="50"/>
      <c r="D47" s="51"/>
      <c r="F47" s="49"/>
      <c r="G47" s="51"/>
      <c r="H47" s="50"/>
      <c r="I47" s="51"/>
      <c r="L47" s="52" t="s">
        <v>63</v>
      </c>
      <c r="O47" s="32">
        <f>O27+O37</f>
        <v>37000</v>
      </c>
    </row>
    <row r="48" spans="1:16" x14ac:dyDescent="0.2">
      <c r="L48" s="52" t="s">
        <v>64</v>
      </c>
      <c r="O48" s="32">
        <f>O47</f>
        <v>37000</v>
      </c>
    </row>
    <row r="49" spans="1:16" x14ac:dyDescent="0.2">
      <c r="A49" s="59" t="s">
        <v>236</v>
      </c>
      <c r="B49" s="59"/>
      <c r="C49" s="59"/>
      <c r="D49" s="59"/>
      <c r="F49" s="59" t="s">
        <v>176</v>
      </c>
      <c r="G49" s="59"/>
      <c r="H49" s="59"/>
      <c r="I49" s="59"/>
      <c r="O49" s="32"/>
    </row>
    <row r="50" spans="1:16" x14ac:dyDescent="0.2">
      <c r="A50" s="56" t="s">
        <v>237</v>
      </c>
      <c r="B50" s="56"/>
      <c r="C50" s="66"/>
      <c r="D50" s="64"/>
      <c r="F50" s="56" t="s">
        <v>235</v>
      </c>
      <c r="G50" s="56"/>
      <c r="H50" s="66"/>
      <c r="I50" s="64"/>
      <c r="L50" s="27" t="s">
        <v>117</v>
      </c>
      <c r="O50" s="32"/>
    </row>
    <row r="51" spans="1:16" x14ac:dyDescent="0.2">
      <c r="A51" s="56"/>
      <c r="B51" s="56"/>
      <c r="C51" s="55"/>
      <c r="D51" s="56"/>
      <c r="F51" s="56"/>
      <c r="G51" s="56"/>
      <c r="H51" s="55"/>
      <c r="I51" s="56"/>
      <c r="L51" s="52" t="s">
        <v>118</v>
      </c>
      <c r="O51" s="32">
        <v>5000</v>
      </c>
    </row>
    <row r="52" spans="1:16" x14ac:dyDescent="0.2">
      <c r="F52" s="52"/>
      <c r="L52" s="52" t="s">
        <v>119</v>
      </c>
      <c r="O52" s="32">
        <v>5000</v>
      </c>
    </row>
    <row r="53" spans="1:16" x14ac:dyDescent="0.2">
      <c r="F53" s="52"/>
      <c r="O53" s="32"/>
    </row>
    <row r="54" spans="1:16" x14ac:dyDescent="0.2">
      <c r="L54" s="27" t="s">
        <v>122</v>
      </c>
      <c r="O54" s="32"/>
    </row>
    <row r="55" spans="1:16" x14ac:dyDescent="0.2">
      <c r="L55" s="52" t="s">
        <v>123</v>
      </c>
      <c r="O55" s="32">
        <v>30000</v>
      </c>
    </row>
    <row r="56" spans="1:16" x14ac:dyDescent="0.2">
      <c r="L56" s="52" t="s">
        <v>124</v>
      </c>
      <c r="O56" s="32">
        <v>30000</v>
      </c>
    </row>
    <row r="57" spans="1:16" x14ac:dyDescent="0.2">
      <c r="O57" s="32"/>
    </row>
    <row r="58" spans="1:16" x14ac:dyDescent="0.2">
      <c r="L58" s="27" t="s">
        <v>233</v>
      </c>
      <c r="M58" s="52"/>
      <c r="P58" s="143"/>
    </row>
    <row r="59" spans="1:16" x14ac:dyDescent="0.2">
      <c r="L59" s="52" t="s">
        <v>136</v>
      </c>
      <c r="M59" s="52"/>
      <c r="O59" s="32">
        <f>O13</f>
        <v>150000</v>
      </c>
      <c r="P59" s="143"/>
    </row>
    <row r="60" spans="1:16" x14ac:dyDescent="0.2">
      <c r="L60" s="52" t="s">
        <v>119</v>
      </c>
      <c r="M60" s="52"/>
      <c r="O60" s="32">
        <f>O59</f>
        <v>150000</v>
      </c>
    </row>
    <row r="61" spans="1:16" x14ac:dyDescent="0.2">
      <c r="M61" s="52"/>
    </row>
    <row r="62" spans="1:16" x14ac:dyDescent="0.2">
      <c r="L62" s="27" t="s">
        <v>137</v>
      </c>
      <c r="M62" s="52"/>
    </row>
    <row r="63" spans="1:16" x14ac:dyDescent="0.2">
      <c r="L63" s="52" t="s">
        <v>138</v>
      </c>
      <c r="M63" s="52"/>
      <c r="O63" s="32">
        <f>O4</f>
        <v>60000</v>
      </c>
    </row>
    <row r="64" spans="1:16" x14ac:dyDescent="0.2">
      <c r="L64" s="52" t="s">
        <v>119</v>
      </c>
      <c r="M64" s="52"/>
      <c r="O64" s="32">
        <f>O63</f>
        <v>60000</v>
      </c>
    </row>
    <row r="65" spans="12:15" x14ac:dyDescent="0.2">
      <c r="M65" s="52"/>
    </row>
    <row r="66" spans="12:15" x14ac:dyDescent="0.2">
      <c r="L66" s="27" t="s">
        <v>142</v>
      </c>
      <c r="O66" s="32"/>
    </row>
    <row r="67" spans="12:15" x14ac:dyDescent="0.2">
      <c r="L67" s="52" t="s">
        <v>128</v>
      </c>
      <c r="O67" s="32">
        <f>O40-O63-O59-O52</f>
        <v>168000</v>
      </c>
    </row>
    <row r="68" spans="12:15" x14ac:dyDescent="0.2">
      <c r="L68" s="52" t="s">
        <v>119</v>
      </c>
      <c r="O68" s="32">
        <f>O67</f>
        <v>168000</v>
      </c>
    </row>
    <row r="70" spans="12:15" x14ac:dyDescent="0.2">
      <c r="L70" s="27" t="s">
        <v>143</v>
      </c>
      <c r="O70" s="32"/>
    </row>
    <row r="71" spans="12:15" x14ac:dyDescent="0.2">
      <c r="L71" s="52" t="s">
        <v>100</v>
      </c>
      <c r="O71" s="32">
        <f>15000-O72</f>
        <v>14302.5</v>
      </c>
    </row>
    <row r="72" spans="12:15" x14ac:dyDescent="0.2">
      <c r="L72" s="52" t="s">
        <v>175</v>
      </c>
      <c r="O72" s="32">
        <f>O73*4.65%</f>
        <v>697.50000000000011</v>
      </c>
    </row>
    <row r="73" spans="12:15" x14ac:dyDescent="0.2">
      <c r="L73" s="52" t="s">
        <v>144</v>
      </c>
      <c r="O73" s="32">
        <v>15000</v>
      </c>
    </row>
    <row r="74" spans="12:15" x14ac:dyDescent="0.2">
      <c r="L74" s="52" t="s">
        <v>234</v>
      </c>
      <c r="M74" s="52"/>
      <c r="O74" s="32">
        <f>O75</f>
        <v>2137.5</v>
      </c>
    </row>
    <row r="75" spans="12:15" x14ac:dyDescent="0.2">
      <c r="L75" s="52" t="s">
        <v>171</v>
      </c>
      <c r="O75" s="32">
        <f>O73*(5+1.65+7.6)/100</f>
        <v>2137.5</v>
      </c>
    </row>
    <row r="77" spans="12:15" x14ac:dyDescent="0.2">
      <c r="L77" s="27" t="s">
        <v>145</v>
      </c>
      <c r="O77" s="32"/>
    </row>
    <row r="78" spans="12:15" x14ac:dyDescent="0.2">
      <c r="L78" s="52" t="s">
        <v>128</v>
      </c>
      <c r="O78" s="32">
        <f>O71</f>
        <v>14302.5</v>
      </c>
    </row>
    <row r="79" spans="12:15" x14ac:dyDescent="0.2">
      <c r="L79" s="52" t="s">
        <v>119</v>
      </c>
      <c r="O79" s="32">
        <f>O78</f>
        <v>14302.5</v>
      </c>
    </row>
    <row r="81" spans="13:13" x14ac:dyDescent="0.2">
      <c r="M81" s="52"/>
    </row>
    <row r="82" spans="13:13" x14ac:dyDescent="0.2">
      <c r="M82" s="52"/>
    </row>
    <row r="83" spans="13:13" x14ac:dyDescent="0.2">
      <c r="M83" s="52"/>
    </row>
    <row r="84" spans="13:13" x14ac:dyDescent="0.2">
      <c r="M84" s="52"/>
    </row>
    <row r="85" spans="13:13" x14ac:dyDescent="0.2">
      <c r="M85" s="52"/>
    </row>
    <row r="86" spans="13:13" x14ac:dyDescent="0.2">
      <c r="M86" s="52"/>
    </row>
    <row r="87" spans="13:13" x14ac:dyDescent="0.2">
      <c r="M87" s="52"/>
    </row>
    <row r="89" spans="13:13" x14ac:dyDescent="0.2">
      <c r="M89" s="52"/>
    </row>
    <row r="90" spans="13:13" x14ac:dyDescent="0.2">
      <c r="M90" s="52"/>
    </row>
    <row r="91" spans="13:13" x14ac:dyDescent="0.2">
      <c r="M91" s="52"/>
    </row>
  </sheetData>
  <mergeCells count="98">
    <mergeCell ref="F51:G51"/>
    <mergeCell ref="H51:I51"/>
    <mergeCell ref="F17:G17"/>
    <mergeCell ref="H17:I17"/>
    <mergeCell ref="F49:I49"/>
    <mergeCell ref="F50:G50"/>
    <mergeCell ref="H50:I50"/>
    <mergeCell ref="A41:B41"/>
    <mergeCell ref="C41:D41"/>
    <mergeCell ref="F41:G41"/>
    <mergeCell ref="H41:I41"/>
    <mergeCell ref="L14:O14"/>
    <mergeCell ref="C24:D24"/>
    <mergeCell ref="C35:D35"/>
    <mergeCell ref="C36:D36"/>
    <mergeCell ref="C37:D37"/>
    <mergeCell ref="F28:G28"/>
    <mergeCell ref="H28:I28"/>
    <mergeCell ref="H29:I29"/>
    <mergeCell ref="F23:G23"/>
    <mergeCell ref="H23:I23"/>
    <mergeCell ref="F18:G18"/>
    <mergeCell ref="H18:I18"/>
    <mergeCell ref="A46:B46"/>
    <mergeCell ref="C46:D46"/>
    <mergeCell ref="F46:G46"/>
    <mergeCell ref="A39:D39"/>
    <mergeCell ref="F39:I39"/>
    <mergeCell ref="A40:B40"/>
    <mergeCell ref="C40:D40"/>
    <mergeCell ref="F40:G40"/>
    <mergeCell ref="H46:I46"/>
    <mergeCell ref="A44:D44"/>
    <mergeCell ref="F44:I44"/>
    <mergeCell ref="H40:I40"/>
    <mergeCell ref="A45:B45"/>
    <mergeCell ref="C45:D45"/>
    <mergeCell ref="F45:G45"/>
    <mergeCell ref="H45:I45"/>
    <mergeCell ref="A28:B28"/>
    <mergeCell ref="C28:D28"/>
    <mergeCell ref="A34:B34"/>
    <mergeCell ref="C34:D34"/>
    <mergeCell ref="F29:G29"/>
    <mergeCell ref="A29:B29"/>
    <mergeCell ref="C29:D29"/>
    <mergeCell ref="F34:G34"/>
    <mergeCell ref="A32:D32"/>
    <mergeCell ref="F32:I32"/>
    <mergeCell ref="F33:G33"/>
    <mergeCell ref="H33:I33"/>
    <mergeCell ref="A33:B33"/>
    <mergeCell ref="C33:D33"/>
    <mergeCell ref="H34:I34"/>
    <mergeCell ref="A23:B23"/>
    <mergeCell ref="C23:D23"/>
    <mergeCell ref="F27:I27"/>
    <mergeCell ref="A27:D27"/>
    <mergeCell ref="F21:I21"/>
    <mergeCell ref="A21:D21"/>
    <mergeCell ref="F22:G22"/>
    <mergeCell ref="H22:I22"/>
    <mergeCell ref="A22:B22"/>
    <mergeCell ref="C22:D22"/>
    <mergeCell ref="A17:B17"/>
    <mergeCell ref="C17:D17"/>
    <mergeCell ref="A18:B18"/>
    <mergeCell ref="C18:D18"/>
    <mergeCell ref="A11:B11"/>
    <mergeCell ref="C11:D11"/>
    <mergeCell ref="F11:G11"/>
    <mergeCell ref="H11:I11"/>
    <mergeCell ref="A16:D16"/>
    <mergeCell ref="A12:B12"/>
    <mergeCell ref="C12:D12"/>
    <mergeCell ref="F16:I16"/>
    <mergeCell ref="A9:D9"/>
    <mergeCell ref="F9:I9"/>
    <mergeCell ref="A10:B10"/>
    <mergeCell ref="C10:D10"/>
    <mergeCell ref="F10:G10"/>
    <mergeCell ref="H10:I10"/>
    <mergeCell ref="A4:B4"/>
    <mergeCell ref="H4:I4"/>
    <mergeCell ref="A5:B5"/>
    <mergeCell ref="C5:D5"/>
    <mergeCell ref="C6:D6"/>
    <mergeCell ref="F6:G6"/>
    <mergeCell ref="A2:D2"/>
    <mergeCell ref="F2:I2"/>
    <mergeCell ref="A3:B3"/>
    <mergeCell ref="C3:D3"/>
    <mergeCell ref="H3:I3"/>
    <mergeCell ref="A49:D49"/>
    <mergeCell ref="A50:B50"/>
    <mergeCell ref="C50:D50"/>
    <mergeCell ref="A51:B51"/>
    <mergeCell ref="C51:D5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05B4E-9AE2-4689-8E29-6E20B12DFB2E}">
  <dimension ref="A1:P38"/>
  <sheetViews>
    <sheetView showGridLines="0" zoomScale="130" zoomScaleNormal="130" workbookViewId="0">
      <selection activeCell="K20" sqref="K20:L20"/>
    </sheetView>
  </sheetViews>
  <sheetFormatPr baseColWidth="10" defaultColWidth="9.1640625" defaultRowHeight="15" x14ac:dyDescent="0.2"/>
  <cols>
    <col min="1" max="4" width="9.1640625" style="2"/>
    <col min="5" max="5" width="2.6640625" style="1" customWidth="1"/>
    <col min="6" max="6" width="8.5" style="1" customWidth="1"/>
    <col min="7" max="7" width="9.1640625" style="2"/>
    <col min="8" max="8" width="11.5" style="2" customWidth="1"/>
    <col min="9" max="9" width="9.1640625" style="2"/>
    <col min="10" max="10" width="3.5" style="2" customWidth="1"/>
    <col min="11" max="11" width="66" style="3" customWidth="1"/>
    <col min="12" max="12" width="12.1640625" style="1" bestFit="1" customWidth="1"/>
    <col min="13" max="13" width="3" style="2" customWidth="1"/>
    <col min="14" max="14" width="35.1640625" style="2" customWidth="1"/>
    <col min="15" max="15" width="15.5" style="1" customWidth="1"/>
    <col min="16" max="16384" width="9.1640625" style="2"/>
  </cols>
  <sheetData>
    <row r="1" spans="1:15" x14ac:dyDescent="0.2">
      <c r="K1" s="19"/>
    </row>
    <row r="2" spans="1:15" x14ac:dyDescent="0.2">
      <c r="A2" s="114" t="s">
        <v>2</v>
      </c>
      <c r="B2" s="114"/>
      <c r="C2" s="114"/>
      <c r="D2" s="114"/>
      <c r="F2" s="114" t="s">
        <v>9</v>
      </c>
      <c r="G2" s="114"/>
      <c r="H2" s="114"/>
      <c r="I2" s="114"/>
      <c r="K2" s="123" t="s">
        <v>71</v>
      </c>
      <c r="L2" s="123"/>
    </row>
    <row r="3" spans="1:15" ht="16" x14ac:dyDescent="0.2">
      <c r="A3" s="134"/>
      <c r="B3" s="135"/>
      <c r="C3" s="116" t="s">
        <v>1</v>
      </c>
      <c r="D3" s="117"/>
      <c r="F3" s="127" t="s">
        <v>15</v>
      </c>
      <c r="G3" s="128"/>
      <c r="H3" s="129" t="s">
        <v>10</v>
      </c>
      <c r="I3" s="127"/>
      <c r="K3" s="19" t="s">
        <v>7</v>
      </c>
      <c r="L3" s="1">
        <v>100000</v>
      </c>
    </row>
    <row r="4" spans="1:15" ht="16" x14ac:dyDescent="0.2">
      <c r="A4" s="136"/>
      <c r="B4" s="137"/>
      <c r="C4" s="118" t="s">
        <v>17</v>
      </c>
      <c r="D4" s="115"/>
      <c r="F4" s="121"/>
      <c r="G4" s="122"/>
      <c r="H4" s="118"/>
      <c r="I4" s="115"/>
      <c r="K4" s="19" t="s">
        <v>8</v>
      </c>
      <c r="L4" s="1">
        <v>100000</v>
      </c>
      <c r="N4" s="130" t="s">
        <v>24</v>
      </c>
      <c r="O4" s="131"/>
    </row>
    <row r="5" spans="1:15" x14ac:dyDescent="0.2">
      <c r="A5" s="137"/>
      <c r="B5" s="137"/>
      <c r="C5" s="118" t="s">
        <v>41</v>
      </c>
      <c r="D5" s="115"/>
      <c r="G5" s="14"/>
      <c r="H5" s="14"/>
      <c r="I5" s="14"/>
      <c r="K5" s="19"/>
      <c r="N5" s="4" t="s">
        <v>21</v>
      </c>
      <c r="O5" s="7">
        <f>L14</f>
        <v>532800</v>
      </c>
    </row>
    <row r="6" spans="1:15" x14ac:dyDescent="0.2">
      <c r="A6" s="5"/>
      <c r="B6" s="5"/>
      <c r="C6" s="119" t="s">
        <v>43</v>
      </c>
      <c r="D6" s="120"/>
      <c r="G6" s="14"/>
      <c r="H6" s="14"/>
      <c r="I6" s="14"/>
      <c r="K6" s="19"/>
      <c r="N6" s="4"/>
      <c r="O6" s="7"/>
    </row>
    <row r="7" spans="1:15" x14ac:dyDescent="0.2">
      <c r="A7" s="137"/>
      <c r="B7" s="137"/>
      <c r="C7" s="137"/>
      <c r="D7" s="137"/>
      <c r="K7" s="123" t="s">
        <v>5</v>
      </c>
      <c r="L7" s="123"/>
      <c r="N7" s="4" t="s">
        <v>22</v>
      </c>
      <c r="O7" s="7">
        <f>L18</f>
        <v>150000</v>
      </c>
    </row>
    <row r="8" spans="1:15" ht="16" x14ac:dyDescent="0.2">
      <c r="A8" s="114" t="s">
        <v>0</v>
      </c>
      <c r="B8" s="114"/>
      <c r="C8" s="114"/>
      <c r="D8" s="114"/>
      <c r="F8" s="114" t="s">
        <v>151</v>
      </c>
      <c r="G8" s="114"/>
      <c r="H8" s="114"/>
      <c r="I8" s="114"/>
      <c r="K8" s="19" t="s">
        <v>6</v>
      </c>
      <c r="L8" s="1">
        <f>111000*4.5</f>
        <v>499500</v>
      </c>
      <c r="N8" s="4" t="s">
        <v>23</v>
      </c>
      <c r="O8" s="7">
        <v>100000</v>
      </c>
    </row>
    <row r="9" spans="1:15" ht="16" x14ac:dyDescent="0.2">
      <c r="A9" s="117" t="s">
        <v>1</v>
      </c>
      <c r="B9" s="124"/>
      <c r="C9" s="116" t="s">
        <v>37</v>
      </c>
      <c r="D9" s="117"/>
      <c r="F9" s="115" t="s">
        <v>37</v>
      </c>
      <c r="G9" s="115"/>
      <c r="H9" s="116" t="s">
        <v>160</v>
      </c>
      <c r="I9" s="117"/>
      <c r="K9" s="19" t="s">
        <v>12</v>
      </c>
      <c r="L9" s="1">
        <f>111000*4.5</f>
        <v>499500</v>
      </c>
      <c r="N9" s="4"/>
      <c r="O9" s="7"/>
    </row>
    <row r="10" spans="1:15" x14ac:dyDescent="0.2">
      <c r="A10" s="121"/>
      <c r="B10" s="122"/>
      <c r="C10" s="118"/>
      <c r="D10" s="115"/>
      <c r="F10" s="115" t="s">
        <v>44</v>
      </c>
      <c r="G10" s="115"/>
      <c r="H10" s="118"/>
      <c r="I10" s="115"/>
      <c r="K10" s="19">
        <v>19</v>
      </c>
      <c r="N10" s="10" t="s">
        <v>25</v>
      </c>
      <c r="O10" s="11">
        <f>O5+O7+O8</f>
        <v>782800</v>
      </c>
    </row>
    <row r="11" spans="1:15" x14ac:dyDescent="0.2">
      <c r="A11" s="115"/>
      <c r="B11" s="115"/>
      <c r="C11" s="115"/>
      <c r="D11" s="115"/>
      <c r="F11" s="12"/>
      <c r="G11" s="15"/>
      <c r="H11" s="16"/>
      <c r="I11" s="15"/>
      <c r="K11" s="123" t="s">
        <v>11</v>
      </c>
      <c r="L11" s="123"/>
    </row>
    <row r="12" spans="1:15" ht="16" x14ac:dyDescent="0.2">
      <c r="A12" s="115"/>
      <c r="B12" s="115"/>
      <c r="C12" s="115"/>
      <c r="D12" s="115"/>
      <c r="G12" s="15"/>
      <c r="H12" s="15"/>
      <c r="I12" s="15"/>
      <c r="K12" s="19" t="s">
        <v>13</v>
      </c>
      <c r="L12" s="1">
        <v>499500</v>
      </c>
    </row>
    <row r="13" spans="1:15" ht="32" x14ac:dyDescent="0.2">
      <c r="A13" s="114" t="s">
        <v>3</v>
      </c>
      <c r="B13" s="114"/>
      <c r="C13" s="114"/>
      <c r="D13" s="114"/>
      <c r="F13" s="114" t="s">
        <v>42</v>
      </c>
      <c r="G13" s="114"/>
      <c r="H13" s="114"/>
      <c r="I13" s="114"/>
      <c r="K13" s="19" t="s">
        <v>18</v>
      </c>
      <c r="L13" s="1">
        <v>33300</v>
      </c>
      <c r="N13" s="130" t="s">
        <v>26</v>
      </c>
      <c r="O13" s="131"/>
    </row>
    <row r="14" spans="1:15" ht="16" x14ac:dyDescent="0.2">
      <c r="A14" s="117"/>
      <c r="B14" s="117"/>
      <c r="C14" s="116"/>
      <c r="D14" s="117"/>
      <c r="F14" s="115"/>
      <c r="G14" s="115"/>
      <c r="H14" s="116" t="s">
        <v>45</v>
      </c>
      <c r="I14" s="117"/>
      <c r="K14" s="19" t="s">
        <v>14</v>
      </c>
      <c r="L14" s="1">
        <f>L12+L13</f>
        <v>532800</v>
      </c>
      <c r="N14" s="4"/>
      <c r="O14" s="7"/>
    </row>
    <row r="15" spans="1:15" x14ac:dyDescent="0.2">
      <c r="A15" s="121" t="s">
        <v>10</v>
      </c>
      <c r="B15" s="115"/>
      <c r="C15" s="118"/>
      <c r="D15" s="115"/>
      <c r="F15" s="115"/>
      <c r="G15" s="115"/>
      <c r="H15" s="118"/>
      <c r="I15" s="115"/>
      <c r="K15" s="19"/>
      <c r="N15" s="4" t="s">
        <v>27</v>
      </c>
      <c r="O15" s="7">
        <f>O10</f>
        <v>782800</v>
      </c>
    </row>
    <row r="16" spans="1:15" x14ac:dyDescent="0.2">
      <c r="A16" s="121" t="s">
        <v>16</v>
      </c>
      <c r="B16" s="121"/>
      <c r="C16" s="16"/>
      <c r="D16" s="15"/>
      <c r="F16" s="12"/>
      <c r="G16" s="15"/>
      <c r="H16" s="16"/>
      <c r="I16" s="15"/>
      <c r="K16" s="123" t="s">
        <v>148</v>
      </c>
      <c r="L16" s="123"/>
      <c r="N16" s="4" t="s">
        <v>29</v>
      </c>
      <c r="O16" s="7">
        <f>O15/0.8775</f>
        <v>892079.77207977208</v>
      </c>
    </row>
    <row r="17" spans="1:16" ht="16" x14ac:dyDescent="0.2">
      <c r="A17" s="133" t="s">
        <v>20</v>
      </c>
      <c r="B17" s="133"/>
      <c r="C17" s="17" t="s">
        <v>34</v>
      </c>
      <c r="D17" s="18"/>
      <c r="G17" s="15"/>
      <c r="H17" s="12"/>
      <c r="I17" s="12"/>
      <c r="J17" s="1"/>
      <c r="K17" s="19" t="s">
        <v>19</v>
      </c>
      <c r="L17" s="1">
        <v>150000</v>
      </c>
      <c r="N17" s="8" t="s">
        <v>28</v>
      </c>
      <c r="O17" s="9">
        <f>O16*0.04</f>
        <v>35683.190883190888</v>
      </c>
      <c r="P17" s="6"/>
    </row>
    <row r="18" spans="1:16" ht="16" x14ac:dyDescent="0.2">
      <c r="A18" s="121"/>
      <c r="B18" s="121"/>
      <c r="C18" s="16"/>
      <c r="D18" s="15"/>
      <c r="G18" s="14"/>
      <c r="H18" s="1"/>
      <c r="I18" s="1"/>
      <c r="J18" s="1"/>
      <c r="K18" s="19" t="s">
        <v>4</v>
      </c>
      <c r="L18" s="1">
        <v>150000</v>
      </c>
      <c r="N18" s="2" t="s">
        <v>154</v>
      </c>
      <c r="O18" s="1">
        <f>O15*5%</f>
        <v>39140</v>
      </c>
    </row>
    <row r="19" spans="1:16" x14ac:dyDescent="0.2">
      <c r="A19" s="115"/>
      <c r="B19" s="115"/>
      <c r="C19" s="15"/>
      <c r="D19" s="15"/>
      <c r="G19" s="14"/>
      <c r="H19" s="14"/>
      <c r="I19" s="14"/>
      <c r="J19" s="1"/>
      <c r="K19" s="19"/>
      <c r="N19" s="2" t="s">
        <v>156</v>
      </c>
      <c r="O19" s="1">
        <v>30000</v>
      </c>
    </row>
    <row r="20" spans="1:16" x14ac:dyDescent="0.2">
      <c r="A20" s="15"/>
      <c r="B20" s="15"/>
      <c r="C20" s="115"/>
      <c r="D20" s="115"/>
      <c r="G20" s="14"/>
      <c r="H20" s="14"/>
      <c r="I20" s="14"/>
      <c r="J20" s="1"/>
      <c r="K20" s="123" t="s">
        <v>30</v>
      </c>
      <c r="L20" s="123"/>
    </row>
    <row r="21" spans="1:16" ht="16" x14ac:dyDescent="0.2">
      <c r="A21" s="115"/>
      <c r="B21" s="115"/>
      <c r="C21" s="15"/>
      <c r="D21" s="15"/>
      <c r="G21" s="14"/>
      <c r="H21" s="14"/>
      <c r="I21" s="14"/>
      <c r="J21" s="1"/>
      <c r="K21" s="19" t="s">
        <v>31</v>
      </c>
      <c r="L21" s="1">
        <f>O16-L22-L23</f>
        <v>826396.58119658125</v>
      </c>
    </row>
    <row r="22" spans="1:16" ht="16" x14ac:dyDescent="0.2">
      <c r="A22" s="114" t="s">
        <v>47</v>
      </c>
      <c r="B22" s="114"/>
      <c r="C22" s="114"/>
      <c r="D22" s="114"/>
      <c r="F22" s="114" t="s">
        <v>46</v>
      </c>
      <c r="G22" s="114"/>
      <c r="H22" s="114"/>
      <c r="I22" s="114"/>
      <c r="J22" s="13"/>
      <c r="K22" s="19" t="s">
        <v>33</v>
      </c>
      <c r="L22" s="1">
        <f>O17</f>
        <v>35683.190883190888</v>
      </c>
      <c r="N22" s="22"/>
    </row>
    <row r="23" spans="1:16" ht="16" x14ac:dyDescent="0.2">
      <c r="A23" s="126" t="s">
        <v>157</v>
      </c>
      <c r="B23" s="115"/>
      <c r="C23" s="116"/>
      <c r="D23" s="117"/>
      <c r="F23" s="117" t="s">
        <v>158</v>
      </c>
      <c r="G23" s="124"/>
      <c r="H23" s="125"/>
      <c r="I23" s="117"/>
      <c r="J23" s="13"/>
      <c r="K23" s="3" t="s">
        <v>152</v>
      </c>
      <c r="L23" s="1">
        <f>O19</f>
        <v>30000</v>
      </c>
      <c r="M23" s="22"/>
      <c r="N23" s="22"/>
    </row>
    <row r="24" spans="1:16" ht="16" x14ac:dyDescent="0.2">
      <c r="A24" s="115"/>
      <c r="B24" s="115"/>
      <c r="C24" s="118"/>
      <c r="D24" s="115"/>
      <c r="F24" s="115"/>
      <c r="G24" s="115"/>
      <c r="H24" s="118"/>
      <c r="I24" s="115"/>
      <c r="J24" s="13"/>
      <c r="K24" s="3" t="s">
        <v>153</v>
      </c>
      <c r="L24" s="1">
        <f>O18</f>
        <v>39140</v>
      </c>
      <c r="M24" s="22"/>
      <c r="N24" s="22"/>
    </row>
    <row r="25" spans="1:16" ht="16" x14ac:dyDescent="0.2">
      <c r="A25" s="12"/>
      <c r="B25" s="15"/>
      <c r="C25" s="16"/>
      <c r="D25" s="15"/>
      <c r="F25" s="12"/>
      <c r="G25" s="15"/>
      <c r="H25" s="16"/>
      <c r="I25" s="15"/>
      <c r="J25" s="13"/>
      <c r="K25" s="19" t="s">
        <v>32</v>
      </c>
      <c r="L25" s="1">
        <v>682000</v>
      </c>
      <c r="N25" s="22"/>
    </row>
    <row r="26" spans="1:16" ht="32" x14ac:dyDescent="0.2">
      <c r="A26" s="14"/>
      <c r="B26" s="14"/>
      <c r="C26" s="14"/>
      <c r="D26" s="14"/>
      <c r="G26" s="14"/>
      <c r="H26" s="14"/>
      <c r="I26" s="14"/>
      <c r="J26" s="13"/>
      <c r="K26" s="19" t="s">
        <v>149</v>
      </c>
      <c r="L26" s="1">
        <f>SUM(L21:L24)-L25</f>
        <v>249219.77207977208</v>
      </c>
    </row>
    <row r="27" spans="1:16" x14ac:dyDescent="0.2">
      <c r="A27" s="114" t="s">
        <v>94</v>
      </c>
      <c r="B27" s="114"/>
      <c r="C27" s="114"/>
      <c r="D27" s="114"/>
      <c r="F27" s="114" t="s">
        <v>105</v>
      </c>
      <c r="G27" s="114"/>
      <c r="H27" s="114"/>
      <c r="I27" s="114"/>
    </row>
    <row r="28" spans="1:16" x14ac:dyDescent="0.2">
      <c r="A28" s="126" t="s">
        <v>155</v>
      </c>
      <c r="B28" s="115"/>
      <c r="C28" s="116"/>
      <c r="D28" s="117"/>
      <c r="F28" s="126" t="s">
        <v>159</v>
      </c>
      <c r="G28" s="115"/>
      <c r="H28" s="116"/>
      <c r="I28" s="117"/>
      <c r="K28" s="123" t="s">
        <v>35</v>
      </c>
      <c r="L28" s="123"/>
    </row>
    <row r="29" spans="1:16" ht="16" x14ac:dyDescent="0.2">
      <c r="A29" s="115"/>
      <c r="B29" s="115"/>
      <c r="C29" s="118"/>
      <c r="D29" s="115"/>
      <c r="F29" s="115"/>
      <c r="G29" s="115"/>
      <c r="H29" s="118"/>
      <c r="I29" s="115"/>
      <c r="K29" s="19" t="s">
        <v>150</v>
      </c>
      <c r="L29" s="132">
        <v>100000</v>
      </c>
    </row>
    <row r="30" spans="1:16" ht="16" x14ac:dyDescent="0.2">
      <c r="A30" s="12"/>
      <c r="B30" s="20"/>
      <c r="C30" s="21"/>
      <c r="D30" s="20"/>
      <c r="F30" s="12"/>
      <c r="G30" s="20"/>
      <c r="H30" s="21"/>
      <c r="I30" s="20"/>
      <c r="K30" s="19" t="s">
        <v>36</v>
      </c>
      <c r="L30" s="132"/>
    </row>
    <row r="31" spans="1:16" ht="30" customHeight="1" x14ac:dyDescent="0.2"/>
    <row r="32" spans="1:16" x14ac:dyDescent="0.2">
      <c r="K32" s="123" t="s">
        <v>38</v>
      </c>
      <c r="L32" s="123"/>
    </row>
    <row r="33" spans="11:12" ht="16" x14ac:dyDescent="0.2">
      <c r="K33" s="19" t="s">
        <v>72</v>
      </c>
      <c r="L33" s="1">
        <v>32616.67</v>
      </c>
    </row>
    <row r="34" spans="11:12" ht="48" x14ac:dyDescent="0.2">
      <c r="K34" s="19" t="s">
        <v>39</v>
      </c>
      <c r="L34" s="1">
        <v>8154.17</v>
      </c>
    </row>
    <row r="35" spans="11:12" ht="16" x14ac:dyDescent="0.2">
      <c r="K35" s="19" t="s">
        <v>40</v>
      </c>
      <c r="L35" s="1">
        <f>L33-L34</f>
        <v>24462.5</v>
      </c>
    </row>
    <row r="38" spans="11:12" x14ac:dyDescent="0.2">
      <c r="K38" s="19"/>
    </row>
  </sheetData>
  <mergeCells count="75">
    <mergeCell ref="A27:D27"/>
    <mergeCell ref="A28:B28"/>
    <mergeCell ref="C28:D28"/>
    <mergeCell ref="A29:B29"/>
    <mergeCell ref="C29:D29"/>
    <mergeCell ref="A22:D22"/>
    <mergeCell ref="A23:B23"/>
    <mergeCell ref="C23:D23"/>
    <mergeCell ref="A24:B24"/>
    <mergeCell ref="C24:D24"/>
    <mergeCell ref="C5:D5"/>
    <mergeCell ref="C7:D7"/>
    <mergeCell ref="C11:D11"/>
    <mergeCell ref="A8:D8"/>
    <mergeCell ref="A9:B9"/>
    <mergeCell ref="A10:B10"/>
    <mergeCell ref="A5:B5"/>
    <mergeCell ref="A7:B7"/>
    <mergeCell ref="A11:B11"/>
    <mergeCell ref="C6:D6"/>
    <mergeCell ref="C9:D9"/>
    <mergeCell ref="C10:D10"/>
    <mergeCell ref="A2:D2"/>
    <mergeCell ref="A3:B3"/>
    <mergeCell ref="C3:D3"/>
    <mergeCell ref="A4:B4"/>
    <mergeCell ref="C4:D4"/>
    <mergeCell ref="A14:B14"/>
    <mergeCell ref="C14:D14"/>
    <mergeCell ref="A15:B15"/>
    <mergeCell ref="C15:D15"/>
    <mergeCell ref="C12:D12"/>
    <mergeCell ref="A13:D13"/>
    <mergeCell ref="A12:B12"/>
    <mergeCell ref="C20:D20"/>
    <mergeCell ref="A21:B21"/>
    <mergeCell ref="N4:O4"/>
    <mergeCell ref="N13:O13"/>
    <mergeCell ref="L29:L30"/>
    <mergeCell ref="K28:L28"/>
    <mergeCell ref="K20:L20"/>
    <mergeCell ref="K16:L16"/>
    <mergeCell ref="K11:L11"/>
    <mergeCell ref="K7:L7"/>
    <mergeCell ref="F4:G4"/>
    <mergeCell ref="H4:I4"/>
    <mergeCell ref="A16:B16"/>
    <mergeCell ref="A17:B17"/>
    <mergeCell ref="A18:B18"/>
    <mergeCell ref="A19:B19"/>
    <mergeCell ref="K2:L2"/>
    <mergeCell ref="F8:I8"/>
    <mergeCell ref="F9:G9"/>
    <mergeCell ref="H9:I9"/>
    <mergeCell ref="F10:G10"/>
    <mergeCell ref="H10:I10"/>
    <mergeCell ref="F2:I2"/>
    <mergeCell ref="F3:G3"/>
    <mergeCell ref="H3:I3"/>
    <mergeCell ref="K32:L32"/>
    <mergeCell ref="F13:I13"/>
    <mergeCell ref="F14:G14"/>
    <mergeCell ref="H14:I14"/>
    <mergeCell ref="F15:G15"/>
    <mergeCell ref="H15:I15"/>
    <mergeCell ref="F22:I22"/>
    <mergeCell ref="F23:G23"/>
    <mergeCell ref="H23:I23"/>
    <mergeCell ref="F24:G24"/>
    <mergeCell ref="H24:I24"/>
    <mergeCell ref="F27:I27"/>
    <mergeCell ref="F28:G28"/>
    <mergeCell ref="H28:I28"/>
    <mergeCell ref="F29:G29"/>
    <mergeCell ref="H29:I29"/>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4D44E4F3E34A44B4A4D3C5E053F77A" ma:contentTypeVersion="12" ma:contentTypeDescription="Crie um novo documento." ma:contentTypeScope="" ma:versionID="2fe5e5bd9c37f96330faf8e98578bf3a">
  <xsd:schema xmlns:xsd="http://www.w3.org/2001/XMLSchema" xmlns:xs="http://www.w3.org/2001/XMLSchema" xmlns:p="http://schemas.microsoft.com/office/2006/metadata/properties" xmlns:ns3="eb3057fb-15ba-4669-b7e3-df794405f0af" xmlns:ns4="0e09c56a-a76c-4765-9973-40214f511551" targetNamespace="http://schemas.microsoft.com/office/2006/metadata/properties" ma:root="true" ma:fieldsID="95f64610af72097ff257ec4a90f5755b" ns3:_="" ns4:_="">
    <xsd:import namespace="eb3057fb-15ba-4669-b7e3-df794405f0af"/>
    <xsd:import namespace="0e09c56a-a76c-4765-9973-40214f5115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057fb-15ba-4669-b7e3-df794405f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09c56a-a76c-4765-9973-40214f511551"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324D0A-1333-4795-824D-DE93AD42A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057fb-15ba-4669-b7e3-df794405f0af"/>
    <ds:schemaRef ds:uri="0e09c56a-a76c-4765-9973-40214f5115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4AD687-31E5-4C81-AF21-57F7F78DF38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0B3434-F8E7-4416-91CB-80332D8950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Encomenda e Própria</vt:lpstr>
      <vt:lpstr>CO - Trading</vt:lpstr>
      <vt:lpstr>CO - Visão Cliente da Trading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Microsoft Office User</cp:lastModifiedBy>
  <dcterms:created xsi:type="dcterms:W3CDTF">2020-04-29T18:25:17Z</dcterms:created>
  <dcterms:modified xsi:type="dcterms:W3CDTF">2020-08-20T16:35:56Z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0x010100D54D44E4F3E34A44B4A4D3C5E053F77A</vt:lpwstr>
  </property>
</Properties>
</file>