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xr:revisionPtr revIDLastSave="0" documentId="8_{13162F5E-EF12-49DD-AC9E-C0EAAACF41A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VALORES RESUMIDOS" sheetId="1" r:id="rId1"/>
    <sheet name="RATEIOS" sheetId="2" r:id="rId2"/>
    <sheet name="Espelho NF-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3" l="1"/>
  <c r="K47" i="3"/>
  <c r="K46" i="3"/>
  <c r="K45" i="3"/>
  <c r="K44" i="3"/>
  <c r="K43" i="3"/>
  <c r="K42" i="3"/>
  <c r="K41" i="3"/>
  <c r="K40" i="3"/>
  <c r="K39" i="3"/>
  <c r="G39" i="3"/>
  <c r="G40" i="3" s="1"/>
  <c r="G41" i="3" s="1"/>
  <c r="G42" i="3" s="1"/>
  <c r="G43" i="3" s="1"/>
  <c r="G44" i="3" s="1"/>
  <c r="G45" i="3" s="1"/>
  <c r="G46" i="3" s="1"/>
  <c r="G47" i="3" s="1"/>
  <c r="G48" i="3" s="1"/>
  <c r="K38" i="3"/>
  <c r="C22" i="3"/>
  <c r="K22" i="3" s="1"/>
  <c r="G25" i="2"/>
  <c r="J33" i="3" s="1"/>
  <c r="C23" i="2"/>
  <c r="G22" i="2"/>
  <c r="E22" i="2"/>
  <c r="F22" i="2" s="1"/>
  <c r="G21" i="2"/>
  <c r="E21" i="2"/>
  <c r="F21" i="2" s="1"/>
  <c r="G20" i="2"/>
  <c r="E20" i="2"/>
  <c r="F20" i="2" s="1"/>
  <c r="G19" i="2"/>
  <c r="E19" i="2"/>
  <c r="F19" i="2" s="1"/>
  <c r="G18" i="2"/>
  <c r="E18" i="2"/>
  <c r="C12" i="2"/>
  <c r="G11" i="2"/>
  <c r="E11" i="2"/>
  <c r="F11" i="2" s="1"/>
  <c r="G10" i="2"/>
  <c r="E10" i="2"/>
  <c r="F10" i="2" s="1"/>
  <c r="G9" i="2"/>
  <c r="E9" i="2"/>
  <c r="F9" i="2" s="1"/>
  <c r="G8" i="2"/>
  <c r="E8" i="2"/>
  <c r="F8" i="2" s="1"/>
  <c r="G7" i="2"/>
  <c r="E7" i="2"/>
  <c r="F7" i="2" s="1"/>
  <c r="G6" i="2"/>
  <c r="E6" i="2"/>
  <c r="X2" i="2"/>
  <c r="B9" i="1"/>
  <c r="C8" i="1"/>
  <c r="M2" i="2" s="1"/>
  <c r="C7" i="1"/>
  <c r="H2" i="2" s="1"/>
  <c r="C6" i="1"/>
  <c r="C9" i="1" s="1"/>
  <c r="H17" i="2" l="1"/>
  <c r="H5" i="2"/>
  <c r="E12" i="2"/>
  <c r="F6" i="2"/>
  <c r="K6" i="2"/>
  <c r="H6" i="2"/>
  <c r="K7" i="2"/>
  <c r="L7" i="2" s="1"/>
  <c r="H7" i="2"/>
  <c r="K8" i="2"/>
  <c r="L8" i="2" s="1"/>
  <c r="H8" i="2"/>
  <c r="K9" i="2"/>
  <c r="L9" i="2" s="1"/>
  <c r="H9" i="2"/>
  <c r="K10" i="2"/>
  <c r="L10" i="2" s="1"/>
  <c r="H10" i="2"/>
  <c r="K11" i="2"/>
  <c r="L11" i="2" s="1"/>
  <c r="H11" i="2"/>
  <c r="E23" i="2"/>
  <c r="F18" i="2"/>
  <c r="K18" i="2"/>
  <c r="H18" i="2"/>
  <c r="K19" i="2"/>
  <c r="L19" i="2" s="1"/>
  <c r="H19" i="2"/>
  <c r="K20" i="2"/>
  <c r="L20" i="2" s="1"/>
  <c r="H20" i="2"/>
  <c r="K21" i="2"/>
  <c r="L21" i="2" s="1"/>
  <c r="H21" i="2"/>
  <c r="K22" i="2"/>
  <c r="L22" i="2" s="1"/>
  <c r="H22" i="2"/>
  <c r="H23" i="2" l="1"/>
  <c r="K23" i="2"/>
  <c r="L18" i="2"/>
  <c r="L23" i="2" s="1"/>
  <c r="F23" i="2"/>
  <c r="N18" i="2"/>
  <c r="H12" i="2"/>
  <c r="K12" i="2"/>
  <c r="L6" i="2"/>
  <c r="L12" i="2" s="1"/>
  <c r="F12" i="2"/>
  <c r="N6" i="2"/>
  <c r="E25" i="2"/>
  <c r="I11" i="2"/>
  <c r="I10" i="2"/>
  <c r="I9" i="2"/>
  <c r="I8" i="2"/>
  <c r="I7" i="2"/>
  <c r="I6" i="2"/>
  <c r="I22" i="2"/>
  <c r="I21" i="2"/>
  <c r="I20" i="2"/>
  <c r="I19" i="2"/>
  <c r="I18" i="2"/>
  <c r="I23" i="2" l="1"/>
  <c r="I12" i="2"/>
  <c r="I25" i="2" s="1"/>
  <c r="F25" i="2"/>
  <c r="N7" i="2"/>
  <c r="N8" i="2"/>
  <c r="N9" i="2"/>
  <c r="N10" i="2"/>
  <c r="N11" i="2"/>
  <c r="N19" i="2"/>
  <c r="N20" i="2"/>
  <c r="N21" i="2"/>
  <c r="N22" i="2"/>
  <c r="N23" i="2" l="1"/>
  <c r="N12" i="2"/>
  <c r="M17" i="2"/>
  <c r="M5" i="2"/>
  <c r="X17" i="2"/>
  <c r="X5" i="2"/>
  <c r="X11" i="2" l="1"/>
  <c r="AE11" i="2" s="1"/>
  <c r="X10" i="2"/>
  <c r="AE10" i="2" s="1"/>
  <c r="X9" i="2"/>
  <c r="AE9" i="2" s="1"/>
  <c r="X8" i="2"/>
  <c r="AE8" i="2" s="1"/>
  <c r="X7" i="2"/>
  <c r="AE7" i="2" s="1"/>
  <c r="X6" i="2"/>
  <c r="X22" i="2"/>
  <c r="AE22" i="2" s="1"/>
  <c r="X21" i="2"/>
  <c r="AE21" i="2" s="1"/>
  <c r="X20" i="2"/>
  <c r="AE20" i="2" s="1"/>
  <c r="X19" i="2"/>
  <c r="AE19" i="2" s="1"/>
  <c r="X18" i="2"/>
  <c r="O11" i="2"/>
  <c r="O10" i="2"/>
  <c r="O9" i="2"/>
  <c r="O8" i="2"/>
  <c r="O7" i="2"/>
  <c r="O6" i="2"/>
  <c r="O22" i="2"/>
  <c r="O21" i="2"/>
  <c r="O20" i="2"/>
  <c r="O19" i="2"/>
  <c r="O18" i="2"/>
  <c r="O23" i="2" l="1"/>
  <c r="U17" i="2" s="1"/>
  <c r="P18" i="2"/>
  <c r="M18" i="2"/>
  <c r="J18" i="2"/>
  <c r="P19" i="2"/>
  <c r="Q19" i="2" s="1"/>
  <c r="M19" i="2"/>
  <c r="J19" i="2"/>
  <c r="P20" i="2"/>
  <c r="Q20" i="2" s="1"/>
  <c r="M20" i="2"/>
  <c r="J20" i="2"/>
  <c r="P21" i="2"/>
  <c r="Q21" i="2" s="1"/>
  <c r="M21" i="2"/>
  <c r="J21" i="2"/>
  <c r="P22" i="2"/>
  <c r="Q22" i="2" s="1"/>
  <c r="M22" i="2"/>
  <c r="J22" i="2"/>
  <c r="O12" i="2"/>
  <c r="P6" i="2"/>
  <c r="M6" i="2"/>
  <c r="J6" i="2"/>
  <c r="P7" i="2"/>
  <c r="Q7" i="2" s="1"/>
  <c r="M7" i="2"/>
  <c r="J7" i="2"/>
  <c r="P8" i="2"/>
  <c r="Q8" i="2" s="1"/>
  <c r="M8" i="2"/>
  <c r="J8" i="2"/>
  <c r="P9" i="2"/>
  <c r="Q9" i="2" s="1"/>
  <c r="M9" i="2"/>
  <c r="J9" i="2"/>
  <c r="P10" i="2"/>
  <c r="Q10" i="2" s="1"/>
  <c r="M10" i="2"/>
  <c r="J10" i="2"/>
  <c r="P11" i="2"/>
  <c r="Q11" i="2" s="1"/>
  <c r="M11" i="2"/>
  <c r="J11" i="2"/>
  <c r="X23" i="2"/>
  <c r="AE18" i="2"/>
  <c r="AE23" i="2" s="1"/>
  <c r="X12" i="2"/>
  <c r="X25" i="2" s="1"/>
  <c r="AE6" i="2"/>
  <c r="AE12" i="2" s="1"/>
  <c r="AE25" i="2" s="1"/>
  <c r="Z11" i="2" l="1"/>
  <c r="R11" i="2"/>
  <c r="Z10" i="2"/>
  <c r="R10" i="2"/>
  <c r="Z9" i="2"/>
  <c r="R9" i="2"/>
  <c r="Z8" i="2"/>
  <c r="R8" i="2"/>
  <c r="Z7" i="2"/>
  <c r="R7" i="2"/>
  <c r="J12" i="2"/>
  <c r="T6" i="2"/>
  <c r="M12" i="2"/>
  <c r="P12" i="2"/>
  <c r="Q6" i="2"/>
  <c r="O25" i="2"/>
  <c r="U5" i="2"/>
  <c r="T22" i="2"/>
  <c r="Z22" i="2"/>
  <c r="R22" i="2"/>
  <c r="T21" i="2"/>
  <c r="Z21" i="2"/>
  <c r="R21" i="2"/>
  <c r="T20" i="2"/>
  <c r="Z20" i="2"/>
  <c r="R20" i="2"/>
  <c r="T19" i="2"/>
  <c r="Z19" i="2"/>
  <c r="R19" i="2"/>
  <c r="J23" i="2"/>
  <c r="T18" i="2"/>
  <c r="T23" i="2" s="1"/>
  <c r="M23" i="2"/>
  <c r="P23" i="2"/>
  <c r="Q18" i="2"/>
  <c r="Q23" i="2" l="1"/>
  <c r="Z18" i="2"/>
  <c r="R18" i="2"/>
  <c r="AC19" i="2"/>
  <c r="AG19" i="2" s="1"/>
  <c r="L45" i="3" s="1"/>
  <c r="M45" i="3" s="1"/>
  <c r="S19" i="2"/>
  <c r="AD19" i="2" s="1"/>
  <c r="P45" i="3" s="1"/>
  <c r="AF19" i="2"/>
  <c r="AC20" i="2"/>
  <c r="AG20" i="2" s="1"/>
  <c r="L46" i="3" s="1"/>
  <c r="M46" i="3" s="1"/>
  <c r="S20" i="2"/>
  <c r="AD20" i="2" s="1"/>
  <c r="P46" i="3" s="1"/>
  <c r="AF20" i="2"/>
  <c r="AC21" i="2"/>
  <c r="AG21" i="2" s="1"/>
  <c r="L47" i="3" s="1"/>
  <c r="M47" i="3" s="1"/>
  <c r="S21" i="2"/>
  <c r="AD21" i="2" s="1"/>
  <c r="P47" i="3" s="1"/>
  <c r="AF21" i="2"/>
  <c r="AC22" i="2"/>
  <c r="AG22" i="2" s="1"/>
  <c r="L48" i="3" s="1"/>
  <c r="M48" i="3" s="1"/>
  <c r="S22" i="2"/>
  <c r="AD22" i="2" s="1"/>
  <c r="P48" i="3" s="1"/>
  <c r="AF22" i="2"/>
  <c r="U22" i="2"/>
  <c r="U21" i="2"/>
  <c r="U20" i="2"/>
  <c r="U19" i="2"/>
  <c r="U18" i="2"/>
  <c r="U6" i="2"/>
  <c r="Q12" i="2"/>
  <c r="Q25" i="2" s="1"/>
  <c r="Z6" i="2"/>
  <c r="R6" i="2"/>
  <c r="P25" i="2"/>
  <c r="M25" i="2"/>
  <c r="J25" i="2"/>
  <c r="T11" i="2"/>
  <c r="U11" i="2" s="1"/>
  <c r="T10" i="2"/>
  <c r="U10" i="2" s="1"/>
  <c r="T9" i="2"/>
  <c r="U9" i="2" s="1"/>
  <c r="T8" i="2"/>
  <c r="U8" i="2" s="1"/>
  <c r="T7" i="2"/>
  <c r="AC7" i="2"/>
  <c r="AG7" i="2" s="1"/>
  <c r="L39" i="3" s="1"/>
  <c r="M39" i="3" s="1"/>
  <c r="S7" i="2"/>
  <c r="AD7" i="2" s="1"/>
  <c r="P39" i="3" s="1"/>
  <c r="AF7" i="2"/>
  <c r="AC8" i="2"/>
  <c r="AG8" i="2" s="1"/>
  <c r="L40" i="3" s="1"/>
  <c r="M40" i="3" s="1"/>
  <c r="S8" i="2"/>
  <c r="AD8" i="2" s="1"/>
  <c r="P40" i="3" s="1"/>
  <c r="AF8" i="2"/>
  <c r="AC9" i="2"/>
  <c r="AG9" i="2" s="1"/>
  <c r="L41" i="3" s="1"/>
  <c r="M41" i="3" s="1"/>
  <c r="S9" i="2"/>
  <c r="AD9" i="2" s="1"/>
  <c r="P41" i="3" s="1"/>
  <c r="AF9" i="2"/>
  <c r="AC10" i="2"/>
  <c r="AG10" i="2" s="1"/>
  <c r="L42" i="3" s="1"/>
  <c r="M42" i="3" s="1"/>
  <c r="S10" i="2"/>
  <c r="AD10" i="2" s="1"/>
  <c r="P42" i="3" s="1"/>
  <c r="AF10" i="2"/>
  <c r="AC11" i="2"/>
  <c r="AG11" i="2" s="1"/>
  <c r="L43" i="3" s="1"/>
  <c r="M43" i="3" s="1"/>
  <c r="S11" i="2"/>
  <c r="AD11" i="2" s="1"/>
  <c r="P43" i="3" s="1"/>
  <c r="AF11" i="2"/>
  <c r="U7" i="2" l="1"/>
  <c r="T12" i="2"/>
  <c r="W8" i="2"/>
  <c r="AB8" i="2" s="1"/>
  <c r="V8" i="2"/>
  <c r="AA8" i="2" s="1"/>
  <c r="W9" i="2"/>
  <c r="AB9" i="2" s="1"/>
  <c r="V9" i="2"/>
  <c r="AA9" i="2" s="1"/>
  <c r="W10" i="2"/>
  <c r="AB10" i="2" s="1"/>
  <c r="V10" i="2"/>
  <c r="AA10" i="2" s="1"/>
  <c r="W11" i="2"/>
  <c r="AB11" i="2" s="1"/>
  <c r="V11" i="2"/>
  <c r="AA11" i="2" s="1"/>
  <c r="R12" i="2"/>
  <c r="AC6" i="2"/>
  <c r="S6" i="2"/>
  <c r="Z12" i="2"/>
  <c r="U12" i="2"/>
  <c r="W6" i="2"/>
  <c r="V6" i="2"/>
  <c r="U23" i="2"/>
  <c r="W18" i="2"/>
  <c r="V18" i="2"/>
  <c r="W19" i="2"/>
  <c r="AB19" i="2" s="1"/>
  <c r="V19" i="2"/>
  <c r="AA19" i="2" s="1"/>
  <c r="W20" i="2"/>
  <c r="AB20" i="2" s="1"/>
  <c r="V20" i="2"/>
  <c r="AA20" i="2" s="1"/>
  <c r="W21" i="2"/>
  <c r="AB21" i="2" s="1"/>
  <c r="V21" i="2"/>
  <c r="AA21" i="2" s="1"/>
  <c r="W22" i="2"/>
  <c r="AB22" i="2" s="1"/>
  <c r="V22" i="2"/>
  <c r="AA22" i="2" s="1"/>
  <c r="R23" i="2"/>
  <c r="AC18" i="2"/>
  <c r="S18" i="2"/>
  <c r="Z23" i="2"/>
  <c r="S23" i="2" l="1"/>
  <c r="AD18" i="2"/>
  <c r="AC23" i="2"/>
  <c r="AG18" i="2"/>
  <c r="L44" i="3" s="1"/>
  <c r="M44" i="3" s="1"/>
  <c r="V23" i="2"/>
  <c r="AA18" i="2"/>
  <c r="AA23" i="2" s="1"/>
  <c r="W23" i="2"/>
  <c r="AB18" i="2"/>
  <c r="AB23" i="2" s="1"/>
  <c r="AA6" i="2"/>
  <c r="AB6" i="2"/>
  <c r="U25" i="2"/>
  <c r="Z25" i="2"/>
  <c r="S12" i="2"/>
  <c r="S25" i="2" s="1"/>
  <c r="AD6" i="2"/>
  <c r="AC12" i="2"/>
  <c r="AC25" i="2" s="1"/>
  <c r="AG6" i="2"/>
  <c r="L38" i="3" s="1"/>
  <c r="M38" i="3" s="1"/>
  <c r="O22" i="3" s="1"/>
  <c r="R25" i="2"/>
  <c r="W7" i="2"/>
  <c r="V7" i="2"/>
  <c r="AA7" i="2" l="1"/>
  <c r="V12" i="2"/>
  <c r="V25" i="2" s="1"/>
  <c r="AB7" i="2"/>
  <c r="W12" i="2"/>
  <c r="W25" i="2" s="1"/>
  <c r="P38" i="3"/>
  <c r="AD12" i="2"/>
  <c r="AF6" i="2"/>
  <c r="AF12" i="2" s="1"/>
  <c r="AB12" i="2"/>
  <c r="AB25" i="2" s="1"/>
  <c r="AA12" i="2"/>
  <c r="P44" i="3"/>
  <c r="AD23" i="2"/>
  <c r="AF18" i="2"/>
  <c r="AF23" i="2" s="1"/>
  <c r="AA25" i="2" l="1"/>
  <c r="F24" i="3"/>
  <c r="AF25" i="2"/>
  <c r="AD25" i="2"/>
  <c r="K24" i="3"/>
  <c r="O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2" authorId="0" shapeId="0" xr:uid="{00000000-0006-0000-0100-000001000000}">
      <text>
        <r>
          <rPr>
            <sz val="11"/>
            <color rgb="FF000000"/>
            <rFont val="Calibri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Rateadas pelo FOB</t>
        </r>
      </text>
    </comment>
  </commentList>
</comments>
</file>

<file path=xl/sharedStrings.xml><?xml version="1.0" encoding="utf-8"?>
<sst xmlns="http://schemas.openxmlformats.org/spreadsheetml/2006/main" count="233" uniqueCount="159">
  <si>
    <t>VALORES TOTAIS</t>
  </si>
  <si>
    <t>TX U$:</t>
  </si>
  <si>
    <t>DESPESAS</t>
  </si>
  <si>
    <t>U$$</t>
  </si>
  <si>
    <t>R$</t>
  </si>
  <si>
    <t>% Ref / Obs</t>
  </si>
  <si>
    <t xml:space="preserve"> '</t>
  </si>
  <si>
    <t>FOB</t>
  </si>
  <si>
    <t>Por item</t>
  </si>
  <si>
    <t>FRETE + THC</t>
  </si>
  <si>
    <t>Por adição</t>
  </si>
  <si>
    <t>SEGURO</t>
  </si>
  <si>
    <t>CIF</t>
  </si>
  <si>
    <t>II</t>
  </si>
  <si>
    <t>IPI</t>
  </si>
  <si>
    <t>PIS</t>
  </si>
  <si>
    <t>COFINS</t>
  </si>
  <si>
    <t>DESPESAS ADUANEIRAS</t>
  </si>
  <si>
    <t>---&gt; todas rateadas pelo FOB</t>
  </si>
  <si>
    <t>Por DI / Processo</t>
  </si>
  <si>
    <t>CLIQUE AQUI</t>
  </si>
  <si>
    <t>ADIÇÃO 1</t>
  </si>
  <si>
    <t>CÓDIGO PRODUTO</t>
  </si>
  <si>
    <t>QNT</t>
  </si>
  <si>
    <t>VLR UNIT DÓLAR</t>
  </si>
  <si>
    <t>FOB DÓLAR</t>
  </si>
  <si>
    <r>
      <t>VLR REAIS (</t>
    </r>
    <r>
      <rPr>
        <b/>
        <sz val="8"/>
        <color rgb="FFFF0000"/>
        <rFont val="Calibri"/>
      </rPr>
      <t>TAXA DÓLAR</t>
    </r>
    <r>
      <rPr>
        <b/>
        <sz val="8"/>
        <color rgb="FF000000"/>
        <rFont val="Calibri"/>
      </rPr>
      <t>)</t>
    </r>
  </si>
  <si>
    <t>PESO LIQ</t>
  </si>
  <si>
    <t>RATEIO DO FRETE INTL</t>
  </si>
  <si>
    <t>FOB + FRETE + SEGURO + THC</t>
  </si>
  <si>
    <t>RATEIO THC</t>
  </si>
  <si>
    <t>RATEIO SEGURO INTL</t>
  </si>
  <si>
    <t>BC II (FOB+FRTE+SEG+THC)</t>
  </si>
  <si>
    <t>BC IPI (FOB+FRTE+SEG+THC+II)</t>
  </si>
  <si>
    <t>RATEIO PIS/COFINS</t>
  </si>
  <si>
    <t>BC PIS/COFINS (FOB+FRTE+SEG+THC)</t>
  </si>
  <si>
    <t>VALORES NF ENTRADA</t>
  </si>
  <si>
    <t>RATEIO</t>
  </si>
  <si>
    <t>VALOR</t>
  </si>
  <si>
    <t>FRETE PROD</t>
  </si>
  <si>
    <t>CIF + THC</t>
  </si>
  <si>
    <t>THC PROD S/ DESPESA</t>
  </si>
  <si>
    <t>BC II</t>
  </si>
  <si>
    <t>BC IPI</t>
  </si>
  <si>
    <t>VLR PRODUTOS</t>
  </si>
  <si>
    <t>VLR PIS</t>
  </si>
  <si>
    <t>VLR COFINS</t>
  </si>
  <si>
    <t>VLR IPI</t>
  </si>
  <si>
    <t>DESPESAS ACESSÓRIAS</t>
  </si>
  <si>
    <t>VLR TOTAL ITEM</t>
  </si>
  <si>
    <t xml:space="preserve">VALOR UNITÁRIO </t>
  </si>
  <si>
    <t>IT001</t>
  </si>
  <si>
    <t>IT002</t>
  </si>
  <si>
    <t>IT003</t>
  </si>
  <si>
    <t>IT004</t>
  </si>
  <si>
    <t>IT005</t>
  </si>
  <si>
    <t>IT006</t>
  </si>
  <si>
    <t>ADIÇÃO 2</t>
  </si>
  <si>
    <r>
      <rPr>
        <sz val="8"/>
        <color rgb="FF000000"/>
        <rFont val="Calibri"/>
      </rPr>
      <t>VLR REAIS (</t>
    </r>
    <r>
      <rPr>
        <b/>
        <sz val="8"/>
        <color rgb="FFFF0000"/>
        <rFont val="Calibri"/>
      </rPr>
      <t>TAXA DÓLAR</t>
    </r>
    <r>
      <rPr>
        <sz val="8"/>
        <color rgb="FF000000"/>
        <rFont val="Calibri"/>
      </rPr>
      <t>)</t>
    </r>
  </si>
  <si>
    <t>IT007</t>
  </si>
  <si>
    <t>IT008</t>
  </si>
  <si>
    <t>IT009</t>
  </si>
  <si>
    <t>IT010</t>
  </si>
  <si>
    <t>IT011</t>
  </si>
  <si>
    <t>TOTAIS GERAIS ----&gt;</t>
  </si>
  <si>
    <t>NOME DA SUA EMPRESA</t>
  </si>
  <si>
    <t>ESPELHO DANFE</t>
  </si>
  <si>
    <t>DOCUMENTO AUXILIAR DA NOTA</t>
  </si>
  <si>
    <t>CNPJ da sua empresa</t>
  </si>
  <si>
    <t>FISCAL ELETRÔNICA</t>
  </si>
  <si>
    <t>Contatos da sua empresa</t>
  </si>
  <si>
    <t>O - ENTRADA</t>
  </si>
  <si>
    <t>Endereço da sua empresa</t>
  </si>
  <si>
    <t xml:space="preserve">1 - SAÍDA </t>
  </si>
  <si>
    <t xml:space="preserve">CHAVE DE ACESSO </t>
  </si>
  <si>
    <t xml:space="preserve">DOCUMENTO SEM VALOR FISCAL </t>
  </si>
  <si>
    <t>Nº 1</t>
  </si>
  <si>
    <t>SÉRIE: 1</t>
  </si>
  <si>
    <t>FOLHA 1/1</t>
  </si>
  <si>
    <t>NÃO É DOCUMENTO FISCAL</t>
  </si>
  <si>
    <t xml:space="preserve">  NATUREZA DA OPERAÇÃO</t>
  </si>
  <si>
    <t xml:space="preserve"> CFOP</t>
  </si>
  <si>
    <t xml:space="preserve"> INSC. ESTADUAL SUBST. TRIBUTÁRIO</t>
  </si>
  <si>
    <t xml:space="preserve"> INSCRIÇÃO ESTADUAL</t>
  </si>
  <si>
    <t xml:space="preserve"> CNAE FISCAL</t>
  </si>
  <si>
    <t xml:space="preserve">Compra para Comercialização </t>
  </si>
  <si>
    <t>(sua IE)</t>
  </si>
  <si>
    <t>(sua CNAE)</t>
  </si>
  <si>
    <t>DESTINATÁRIO / REMETENTE</t>
  </si>
  <si>
    <t xml:space="preserve"> NOME / RAZÃO SOCIAL</t>
  </si>
  <si>
    <t>CNPJ / CPF</t>
  </si>
  <si>
    <t xml:space="preserve">RAZÃO SOCIAL DO EXPORTADOR DOS PRODUTOS </t>
  </si>
  <si>
    <t>99.999.999/9999-99</t>
  </si>
  <si>
    <t xml:space="preserve"> ENDEREÇO</t>
  </si>
  <si>
    <t xml:space="preserve"> BAIRRO</t>
  </si>
  <si>
    <t xml:space="preserve"> CEP</t>
  </si>
  <si>
    <t>(endereço do seu cliente)</t>
  </si>
  <si>
    <t>(bairro do cliente)</t>
  </si>
  <si>
    <t>(CEP do cliente)</t>
  </si>
  <si>
    <t xml:space="preserve"> MUNICÍPIO</t>
  </si>
  <si>
    <t xml:space="preserve"> TELEFONE</t>
  </si>
  <si>
    <t>UF</t>
  </si>
  <si>
    <t>(municipio do cliente)</t>
  </si>
  <si>
    <t>(telefone do seu cliente)</t>
  </si>
  <si>
    <t>EX</t>
  </si>
  <si>
    <t>(IE do cliente quando pessoa física)</t>
  </si>
  <si>
    <t xml:space="preserve"> BASE DE CÁLCULO ICMS</t>
  </si>
  <si>
    <t xml:space="preserve"> VALOR DO ICMS</t>
  </si>
  <si>
    <t>MVA ST %</t>
  </si>
  <si>
    <t xml:space="preserve"> BASE CÁLCULO ST</t>
  </si>
  <si>
    <t xml:space="preserve"> VALOR DO ICMS SUBSTITUIÇÃO</t>
  </si>
  <si>
    <t xml:space="preserve"> VALOR TOTAL DOS PRODUTOS</t>
  </si>
  <si>
    <t xml:space="preserve"> VALOR DO FRETE</t>
  </si>
  <si>
    <t xml:space="preserve"> VALOR DO SEGURO</t>
  </si>
  <si>
    <t xml:space="preserve"> OUTRAS DESP. ACESSÓRIAS</t>
  </si>
  <si>
    <t xml:space="preserve"> VALOR TOTAL DO IPI</t>
  </si>
  <si>
    <t>VALOR TOTAL DA NOTA</t>
  </si>
  <si>
    <t>TRANSPORTADOR / VOLUMES TRANSPORTADOS</t>
  </si>
  <si>
    <t>FRETE POR CONTA</t>
  </si>
  <si>
    <t>PLACA DO VEÍC.</t>
  </si>
  <si>
    <t>TRANSPORTADORA XYZ</t>
  </si>
  <si>
    <t>1-Emitente</t>
  </si>
  <si>
    <t>X</t>
  </si>
  <si>
    <t>XYZ9999</t>
  </si>
  <si>
    <t>SC</t>
  </si>
  <si>
    <t>2-Destinatário</t>
  </si>
  <si>
    <t>MUNICÍPIO</t>
  </si>
  <si>
    <t>INSCRIÇÃO ESTADUAL</t>
  </si>
  <si>
    <t>CENTRO DE ITAJAI</t>
  </si>
  <si>
    <t>ITAJAI</t>
  </si>
  <si>
    <t xml:space="preserve"> QUANTIDADE</t>
  </si>
  <si>
    <t>ESPÉCIE</t>
  </si>
  <si>
    <t>MARCA</t>
  </si>
  <si>
    <t>NÚMERO</t>
  </si>
  <si>
    <t>PESO BRUTO</t>
  </si>
  <si>
    <t>PESO LÍQUIDO</t>
  </si>
  <si>
    <t>CNPJ/CPF</t>
  </si>
  <si>
    <t xml:space="preserve">CAIXA </t>
  </si>
  <si>
    <t>DADOS DO PRODUTO</t>
  </si>
  <si>
    <t>CÓD. PROD</t>
  </si>
  <si>
    <t>DESCRIÇÃO DOS PRODUTOS</t>
  </si>
  <si>
    <t>CL. FISC.</t>
  </si>
  <si>
    <t>SITUAÇÃO TRIBUT.</t>
  </si>
  <si>
    <t>CFOP</t>
  </si>
  <si>
    <t>UNID.</t>
  </si>
  <si>
    <t>QTD</t>
  </si>
  <si>
    <t>VALOR UNITÁRIO</t>
  </si>
  <si>
    <t>VALOR TOTAL DOS PRODUTOS</t>
  </si>
  <si>
    <t>B. CÁLCULO ICMS</t>
  </si>
  <si>
    <t xml:space="preserve">VALOR ICMS </t>
  </si>
  <si>
    <t xml:space="preserve">VALOR IPI </t>
  </si>
  <si>
    <t>ALÍQUOTA (%)</t>
  </si>
  <si>
    <t>ICMS</t>
  </si>
  <si>
    <t xml:space="preserve">Placa de vídeo com unidade de processamento gráfico </t>
  </si>
  <si>
    <t>UN</t>
  </si>
  <si>
    <t>DADOS ADICIONAIS</t>
  </si>
  <si>
    <t>INFORMAÇÕES COMPLEMENTARES</t>
  </si>
  <si>
    <t>RESERVADO AO FISCO</t>
  </si>
  <si>
    <t xml:space="preserve">ICMS DIFERIDO CONFORME TTD 410 - SC Nº 123456. DI Nº 20/9999999-9 DE 23/07/2020. PROCESSO DE IMPORTAÇAÕ N/REF.: IMP0001/2020. IMPOSTOS DE NACIONALIZAÇÃO: PIS NACIONALIZAÇÃO R$ 26.610,68, COFINS NACIONALIZAÇÃO R$ 122.282,40. MERCADORIA DESEMBARAÇADA NO PORTO DE ITAJAI.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</si>
</sst>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&quot;R$&quot;\ * #,##0.00_-;\-&quot;R$&quot;\ * #,##0.00_-;_-&quot;R$&quot;\ * &quot;-&quot;??_-;_-@"/>
    <numFmt numFmtId="165" formatCode="#,##0.00_ ;[Red]\-#,##0.00\ "/>
    <numFmt numFmtId="166" formatCode="_-* #,##0.00_-;\-* #,##0.00_-;_-* \-??_-;_-@"/>
    <numFmt numFmtId="167" formatCode="#,##0.00000000"/>
    <numFmt numFmtId="168" formatCode="#,##0.000"/>
    <numFmt numFmtId="169" formatCode="_-&quot;R$&quot;* #,##0.00_-;\-&quot;R$&quot;* #,##0.00_-;_-&quot;R$&quot;* &quot;-&quot;??_-;_-@"/>
    <numFmt numFmtId="170" formatCode="0.000"/>
    <numFmt numFmtId="171" formatCode="_-* #,##0.00_-;\-* #,##0.00_-;_-* &quot;-&quot;??_-;_-@"/>
    <numFmt numFmtId="172" formatCode="000000"/>
  </numFmts>
  <fonts count="17">
    <font>
      <sz val="11"/>
      <color rgb="FF000000"/>
      <name val="Calibri"/>
    </font>
    <font>
      <b/>
      <i/>
      <sz val="20"/>
      <color theme="0"/>
      <name val="Calibri"/>
    </font>
    <font>
      <sz val="11"/>
      <name val="Calibri"/>
    </font>
    <font>
      <sz val="11"/>
      <color theme="1"/>
      <name val="Calibri"/>
    </font>
    <font>
      <sz val="10"/>
      <color theme="1"/>
      <name val="Arial"/>
    </font>
    <font>
      <u/>
      <sz val="11"/>
      <color rgb="FF1155CC"/>
      <name val="Calibri"/>
    </font>
    <font>
      <b/>
      <sz val="18"/>
      <color rgb="FF008000"/>
      <name val="Calibri"/>
    </font>
    <font>
      <sz val="8"/>
      <color rgb="FF000000"/>
      <name val="Calibri"/>
    </font>
    <font>
      <b/>
      <sz val="8"/>
      <color rgb="FF000000"/>
      <name val="Calibri"/>
    </font>
    <font>
      <sz val="8"/>
      <color theme="1"/>
      <name val="Arial"/>
    </font>
    <font>
      <b/>
      <sz val="8"/>
      <color rgb="FFFF0000"/>
      <name val="Calibri"/>
    </font>
    <font>
      <b/>
      <sz val="12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6"/>
      <color rgb="FFFF0000"/>
      <name val="Calibri"/>
    </font>
    <font>
      <b/>
      <sz val="16"/>
      <color rgb="FF7030A0"/>
      <name val="Calibri"/>
    </font>
    <font>
      <b/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A9FB00"/>
        <bgColor rgb="FFA9FB00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FFC000"/>
        <bgColor rgb="FFFFC000"/>
      </patternFill>
    </fill>
    <fill>
      <patternFill patternType="solid">
        <fgColor rgb="FFF4B183"/>
        <bgColor rgb="FFF4B183"/>
      </patternFill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9CC2E5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0" borderId="0" xfId="0" applyNumberFormat="1" applyFont="1"/>
    <xf numFmtId="0" fontId="0" fillId="3" borderId="2" xfId="0" applyFill="1" applyBorder="1"/>
    <xf numFmtId="164" fontId="4" fillId="3" borderId="2" xfId="0" applyNumberFormat="1" applyFont="1" applyFill="1" applyBorder="1"/>
    <xf numFmtId="9" fontId="0" fillId="0" borderId="0" xfId="0" applyNumberFormat="1"/>
    <xf numFmtId="0" fontId="5" fillId="0" borderId="0" xfId="0" applyFont="1"/>
    <xf numFmtId="10" fontId="0" fillId="0" borderId="0" xfId="0" applyNumberFormat="1"/>
    <xf numFmtId="0" fontId="0" fillId="0" borderId="0" xfId="0" quotePrefix="1"/>
    <xf numFmtId="0" fontId="2" fillId="4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165" fontId="8" fillId="9" borderId="9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9" borderId="9" xfId="0" applyFont="1" applyFill="1" applyBorder="1" applyAlignment="1">
      <alignment vertical="center"/>
    </xf>
    <xf numFmtId="166" fontId="8" fillId="9" borderId="9" xfId="0" applyNumberFormat="1" applyFont="1" applyFill="1" applyBorder="1" applyAlignment="1">
      <alignment vertical="center"/>
    </xf>
    <xf numFmtId="0" fontId="8" fillId="7" borderId="9" xfId="0" applyFont="1" applyFill="1" applyBorder="1" applyAlignment="1">
      <alignment horizontal="center" vertical="center" wrapText="1"/>
    </xf>
    <xf numFmtId="9" fontId="8" fillId="7" borderId="9" xfId="0" applyNumberFormat="1" applyFont="1" applyFill="1" applyBorder="1" applyAlignment="1">
      <alignment horizontal="center" vertical="center"/>
    </xf>
    <xf numFmtId="9" fontId="8" fillId="0" borderId="9" xfId="0" applyNumberFormat="1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/>
    </xf>
    <xf numFmtId="166" fontId="8" fillId="9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7" fontId="7" fillId="0" borderId="9" xfId="0" applyNumberFormat="1" applyFont="1" applyBorder="1" applyAlignment="1">
      <alignment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vertical="center"/>
    </xf>
    <xf numFmtId="168" fontId="7" fillId="0" borderId="9" xfId="0" applyNumberFormat="1" applyFont="1" applyBorder="1" applyAlignment="1">
      <alignment vertical="center"/>
    </xf>
    <xf numFmtId="10" fontId="7" fillId="0" borderId="9" xfId="0" applyNumberFormat="1" applyFont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165" fontId="7" fillId="0" borderId="9" xfId="0" applyNumberFormat="1" applyFont="1" applyBorder="1" applyAlignment="1">
      <alignment vertical="center" wrapText="1"/>
    </xf>
    <xf numFmtId="166" fontId="8" fillId="7" borderId="9" xfId="0" applyNumberFormat="1" applyFont="1" applyFill="1" applyBorder="1" applyAlignment="1">
      <alignment vertical="center"/>
    </xf>
    <xf numFmtId="166" fontId="7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vertical="center"/>
    </xf>
    <xf numFmtId="169" fontId="7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9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 wrapText="1"/>
    </xf>
    <xf numFmtId="166" fontId="8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5" fontId="7" fillId="9" borderId="9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9" borderId="9" xfId="0" applyFont="1" applyFill="1" applyBorder="1" applyAlignment="1">
      <alignment vertical="center"/>
    </xf>
    <xf numFmtId="166" fontId="7" fillId="9" borderId="9" xfId="0" applyNumberFormat="1" applyFont="1" applyFill="1" applyBorder="1" applyAlignment="1">
      <alignment vertical="center"/>
    </xf>
    <xf numFmtId="9" fontId="7" fillId="0" borderId="9" xfId="0" applyNumberFormat="1" applyFont="1" applyBorder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/>
    </xf>
    <xf numFmtId="170" fontId="7" fillId="0" borderId="9" xfId="0" applyNumberFormat="1" applyFont="1" applyBorder="1" applyAlignment="1">
      <alignment horizontal="right" vertical="center"/>
    </xf>
    <xf numFmtId="171" fontId="8" fillId="0" borderId="0" xfId="0" applyNumberFormat="1" applyFont="1" applyAlignment="1">
      <alignment vertical="center"/>
    </xf>
    <xf numFmtId="171" fontId="8" fillId="0" borderId="0" xfId="0" applyNumberFormat="1" applyFont="1" applyAlignment="1">
      <alignment vertical="center" wrapText="1"/>
    </xf>
    <xf numFmtId="171" fontId="8" fillId="0" borderId="0" xfId="0" applyNumberFormat="1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3" fillId="10" borderId="2" xfId="0" applyFont="1" applyFill="1" applyBorder="1" applyAlignment="1">
      <alignment horizontal="left"/>
    </xf>
    <xf numFmtId="0" fontId="13" fillId="10" borderId="9" xfId="0" applyFont="1" applyFill="1" applyBorder="1" applyAlignment="1">
      <alignment horizontal="left"/>
    </xf>
    <xf numFmtId="166" fontId="13" fillId="12" borderId="2" xfId="0" applyNumberFormat="1" applyFont="1" applyFill="1" applyBorder="1" applyAlignment="1">
      <alignment horizontal="center" vertical="center"/>
    </xf>
    <xf numFmtId="0" fontId="13" fillId="10" borderId="12" xfId="0" applyFont="1" applyFill="1" applyBorder="1"/>
    <xf numFmtId="0" fontId="13" fillId="10" borderId="2" xfId="0" applyFont="1" applyFill="1" applyBorder="1"/>
    <xf numFmtId="0" fontId="13" fillId="10" borderId="13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3" fillId="10" borderId="9" xfId="0" applyFont="1" applyFill="1" applyBorder="1" applyAlignment="1">
      <alignment horizontal="center" vertical="center" wrapText="1"/>
    </xf>
    <xf numFmtId="166" fontId="0" fillId="0" borderId="3" xfId="0" applyNumberFormat="1" applyBorder="1"/>
    <xf numFmtId="166" fontId="0" fillId="0" borderId="9" xfId="0" applyNumberFormat="1" applyBorder="1"/>
    <xf numFmtId="10" fontId="0" fillId="0" borderId="5" xfId="0" applyNumberFormat="1" applyBorder="1"/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4" fontId="3" fillId="0" borderId="11" xfId="0" applyNumberFormat="1" applyFont="1" applyBorder="1" applyAlignment="1">
      <alignment vertical="center"/>
    </xf>
    <xf numFmtId="20" fontId="3" fillId="0" borderId="11" xfId="0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20" fontId="3" fillId="0" borderId="8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3" fillId="10" borderId="15" xfId="0" applyFont="1" applyFill="1" applyBorder="1"/>
    <xf numFmtId="0" fontId="13" fillId="10" borderId="14" xfId="0" applyFont="1" applyFill="1" applyBorder="1"/>
    <xf numFmtId="3" fontId="3" fillId="0" borderId="17" xfId="0" applyNumberFormat="1" applyFont="1" applyBorder="1" applyAlignment="1">
      <alignment vertical="center"/>
    </xf>
    <xf numFmtId="0" fontId="3" fillId="0" borderId="1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12" borderId="2" xfId="0" applyNumberFormat="1" applyFont="1" applyFill="1" applyBorder="1" applyAlignment="1">
      <alignment horizontal="center" vertical="center"/>
    </xf>
    <xf numFmtId="166" fontId="3" fillId="12" borderId="2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3" fillId="10" borderId="15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/>
    <xf numFmtId="0" fontId="3" fillId="0" borderId="3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13" fillId="12" borderId="1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13" fillId="10" borderId="15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171" fontId="3" fillId="0" borderId="17" xfId="0" applyNumberFormat="1" applyFont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/>
    </xf>
    <xf numFmtId="166" fontId="13" fillId="12" borderId="3" xfId="0" applyNumberFormat="1" applyFont="1" applyFill="1" applyBorder="1" applyAlignment="1">
      <alignment horizontal="center" vertical="center"/>
    </xf>
    <xf numFmtId="166" fontId="13" fillId="10" borderId="3" xfId="0" applyNumberFormat="1" applyFont="1" applyFill="1" applyBorder="1" applyAlignment="1">
      <alignment horizontal="right" vertical="center"/>
    </xf>
    <xf numFmtId="0" fontId="13" fillId="10" borderId="3" xfId="0" applyFont="1" applyFill="1" applyBorder="1" applyAlignment="1">
      <alignment horizontal="left"/>
    </xf>
    <xf numFmtId="0" fontId="13" fillId="10" borderId="12" xfId="0" applyFont="1" applyFill="1" applyBorder="1" applyAlignment="1">
      <alignment horizontal="center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3" fillId="10" borderId="3" xfId="0" applyFont="1" applyFill="1" applyBorder="1" applyAlignment="1">
      <alignment horizontal="center"/>
    </xf>
    <xf numFmtId="166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164" fontId="13" fillId="10" borderId="3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/>
    </xf>
    <xf numFmtId="0" fontId="13" fillId="10" borderId="15" xfId="0" applyFont="1" applyFill="1" applyBorder="1" applyAlignment="1">
      <alignment horizontal="left"/>
    </xf>
    <xf numFmtId="0" fontId="13" fillId="10" borderId="12" xfId="0" applyFont="1" applyFill="1" applyBorder="1" applyAlignment="1">
      <alignment horizontal="left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172" fontId="13" fillId="0" borderId="15" xfId="0" applyNumberFormat="1" applyFont="1" applyBorder="1" applyAlignment="1">
      <alignment horizontal="left" vertical="top"/>
    </xf>
    <xf numFmtId="0" fontId="14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/>
    </xf>
    <xf numFmtId="0" fontId="0" fillId="0" borderId="0" xfId="0" applyAlignment="1"/>
    <xf numFmtId="0" fontId="2" fillId="0" borderId="2" xfId="0" applyFont="1" applyBorder="1" applyAlignment="1"/>
    <xf numFmtId="0" fontId="3" fillId="2" borderId="0" xfId="0" applyFont="1" applyFill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10" xfId="0" applyFont="1" applyBorder="1" applyAlignment="1"/>
    <xf numFmtId="0" fontId="2" fillId="0" borderId="14" xfId="0" applyFont="1" applyBorder="1" applyAlignment="1"/>
    <xf numFmtId="0" fontId="2" fillId="0" borderId="13" xfId="0" applyFont="1" applyBorder="1" applyAlignment="1"/>
    <xf numFmtId="0" fontId="2" fillId="0" borderId="7" xfId="0" applyFont="1" applyBorder="1" applyAlignment="1"/>
    <xf numFmtId="0" fontId="2" fillId="0" borderId="17" xfId="0" applyFont="1" applyBorder="1" applyAlignment="1"/>
    <xf numFmtId="0" fontId="2" fillId="0" borderId="8" xfId="0" applyFont="1" applyBorder="1" applyAlignment="1"/>
    <xf numFmtId="0" fontId="2" fillId="0" borderId="16" xfId="0" applyFont="1" applyBorder="1" applyAlignment="1"/>
    <xf numFmtId="0" fontId="2" fillId="0" borderId="12" xfId="0" applyFont="1" applyBorder="1" applyAlignment="1"/>
    <xf numFmtId="0" fontId="2" fillId="0" borderId="11" xfId="0" applyFont="1" applyBorder="1" applyAlignment="1"/>
    <xf numFmtId="0" fontId="13" fillId="10" borderId="15" xfId="0" applyFont="1" applyFill="1" applyBorder="1" applyAlignment="1"/>
  </cellXfs>
  <cellStyles count="1">
    <cellStyle name="Normal" xfId="0" builtinId="0"/>
  </cellStyles>
  <dxfs count="5">
    <dxf>
      <font>
        <color rgb="FF008000"/>
      </font>
      <fill>
        <patternFill patternType="none"/>
      </fill>
    </dxf>
    <dxf>
      <font>
        <color rgb="FF008000"/>
      </font>
      <fill>
        <patternFill patternType="none"/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8"/>
          <bgColor theme="8"/>
        </patternFill>
      </fill>
    </dxf>
  </dxfs>
  <tableStyles count="1">
    <tableStyle name="VALORES RESUMIDOS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16</xdr:row>
      <xdr:rowOff>85725</xdr:rowOff>
    </xdr:from>
    <xdr:ext cx="6867525" cy="1781175"/>
    <xdr:pic>
      <xdr:nvPicPr>
        <xdr:cNvPr id="3" name="image1.jp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66675</xdr:colOff>
      <xdr:row>0</xdr:row>
      <xdr:rowOff>38100</xdr:rowOff>
    </xdr:from>
    <xdr:to>
      <xdr:col>3</xdr:col>
      <xdr:colOff>1371600</xdr:colOff>
      <xdr:row>0</xdr:row>
      <xdr:rowOff>1304925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076ADF2-314C-4C6A-91A9-CE86848A3A1E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" y="38100"/>
          <a:ext cx="3429000" cy="1266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F15" headerRowCount="0">
  <tableColumns count="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</tableColumns>
  <tableStyleInfo name="VALORES RESUMIDO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conexos.com.br/conexos-cloud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G2" sqref="G2"/>
    </sheetView>
  </sheetViews>
  <sheetFormatPr defaultColWidth="14.42578125" defaultRowHeight="15" customHeight="1"/>
  <cols>
    <col min="1" max="1" width="22.140625" customWidth="1"/>
    <col min="2" max="2" width="15.140625" customWidth="1"/>
    <col min="3" max="3" width="16.7109375" customWidth="1"/>
    <col min="4" max="4" width="26.42578125" customWidth="1"/>
    <col min="5" max="5" width="13.42578125" customWidth="1"/>
    <col min="6" max="6" width="11.42578125" customWidth="1"/>
  </cols>
  <sheetData>
    <row r="1" spans="1:6" ht="114" customHeight="1">
      <c r="A1" s="167"/>
      <c r="B1" s="167"/>
      <c r="C1" s="167"/>
      <c r="D1" s="167"/>
      <c r="E1" s="167"/>
      <c r="F1" s="167"/>
    </row>
    <row r="2" spans="1:6" ht="27" customHeight="1">
      <c r="A2" s="111" t="s">
        <v>0</v>
      </c>
      <c r="B2" s="168"/>
      <c r="C2" s="168"/>
      <c r="D2" s="168"/>
      <c r="E2" s="168"/>
      <c r="F2" s="1"/>
    </row>
    <row r="4" spans="1:6">
      <c r="B4" s="2" t="s">
        <v>1</v>
      </c>
      <c r="C4" s="2">
        <v>5.3559999999999999</v>
      </c>
    </row>
    <row r="5" spans="1:6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/>
    </row>
    <row r="6" spans="1:6">
      <c r="A6" s="2" t="s">
        <v>7</v>
      </c>
      <c r="B6" s="3">
        <v>232597.69</v>
      </c>
      <c r="C6" s="3">
        <f t="shared" ref="C6:C8" si="0">B6*$C$4</f>
        <v>1245793.2276399999</v>
      </c>
      <c r="D6" s="2"/>
      <c r="E6" s="2" t="s">
        <v>8</v>
      </c>
      <c r="F6" s="2"/>
    </row>
    <row r="7" spans="1:6">
      <c r="A7" s="2" t="s">
        <v>9</v>
      </c>
      <c r="B7" s="3">
        <v>3831.36</v>
      </c>
      <c r="C7" s="3">
        <f t="shared" si="0"/>
        <v>20520.764159999999</v>
      </c>
      <c r="D7" s="2"/>
      <c r="E7" s="2" t="s">
        <v>10</v>
      </c>
      <c r="F7" s="2"/>
    </row>
    <row r="8" spans="1:6">
      <c r="A8" s="2" t="s">
        <v>11</v>
      </c>
      <c r="B8" s="3">
        <v>160.77000000000001</v>
      </c>
      <c r="C8" s="3">
        <f t="shared" si="0"/>
        <v>861.08411999999998</v>
      </c>
      <c r="D8" s="2"/>
      <c r="E8" s="2" t="s">
        <v>10</v>
      </c>
      <c r="F8" s="2"/>
    </row>
    <row r="9" spans="1:6">
      <c r="A9" s="4" t="s">
        <v>12</v>
      </c>
      <c r="B9" s="5">
        <f t="shared" ref="B9:C9" si="1">SUM(B6:B8)</f>
        <v>236589.81999999998</v>
      </c>
      <c r="C9" s="5">
        <f t="shared" si="1"/>
        <v>1267175.07592</v>
      </c>
      <c r="D9" s="2"/>
      <c r="E9" s="2" t="s">
        <v>10</v>
      </c>
      <c r="F9" s="2"/>
    </row>
    <row r="10" spans="1:6">
      <c r="A10" s="2" t="s">
        <v>13</v>
      </c>
      <c r="B10" s="3"/>
      <c r="C10" s="3">
        <v>0</v>
      </c>
      <c r="D10" s="2"/>
      <c r="E10" s="2" t="s">
        <v>10</v>
      </c>
      <c r="F10" s="2"/>
    </row>
    <row r="11" spans="1:6">
      <c r="A11" s="2" t="s">
        <v>14</v>
      </c>
      <c r="B11" s="3"/>
      <c r="C11" s="3">
        <v>25343.5</v>
      </c>
      <c r="D11" s="6">
        <v>0.02</v>
      </c>
      <c r="E11" s="2" t="s">
        <v>10</v>
      </c>
      <c r="F11" s="7"/>
    </row>
    <row r="12" spans="1:6">
      <c r="A12" s="2" t="s">
        <v>15</v>
      </c>
      <c r="B12" s="3"/>
      <c r="C12" s="3">
        <v>26610.68</v>
      </c>
      <c r="D12" s="8">
        <v>2.1000000000000001E-2</v>
      </c>
      <c r="E12" s="2" t="s">
        <v>10</v>
      </c>
      <c r="F12" s="2"/>
    </row>
    <row r="13" spans="1:6">
      <c r="A13" s="2" t="s">
        <v>16</v>
      </c>
      <c r="B13" s="3"/>
      <c r="C13" s="3">
        <v>122282.4</v>
      </c>
      <c r="D13" s="8">
        <v>9.6500000000000002E-2</v>
      </c>
      <c r="E13" s="2" t="s">
        <v>10</v>
      </c>
      <c r="F13" s="2"/>
    </row>
    <row r="14" spans="1:6">
      <c r="A14" s="2"/>
      <c r="B14" s="2"/>
      <c r="C14" s="2"/>
      <c r="D14" s="2"/>
      <c r="E14" s="2"/>
      <c r="F14" s="2"/>
    </row>
    <row r="15" spans="1:6">
      <c r="A15" s="2" t="s">
        <v>17</v>
      </c>
      <c r="B15" s="2"/>
      <c r="C15" s="3">
        <v>5500</v>
      </c>
      <c r="D15" s="9" t="s">
        <v>18</v>
      </c>
      <c r="E15" s="2" t="s">
        <v>19</v>
      </c>
      <c r="F15" s="2"/>
    </row>
    <row r="16" spans="1:6">
      <c r="A16" s="10"/>
      <c r="B16" s="10"/>
      <c r="C16" s="10"/>
      <c r="D16" s="10"/>
      <c r="E16" s="10"/>
      <c r="F16" s="10"/>
    </row>
    <row r="17" spans="1:6">
      <c r="A17" s="169"/>
      <c r="B17" s="167"/>
      <c r="C17" s="167"/>
      <c r="D17" s="167"/>
      <c r="E17" s="167"/>
      <c r="F17" s="167"/>
    </row>
    <row r="18" spans="1:6" ht="141.75" customHeight="1">
      <c r="A18" s="167"/>
      <c r="B18" s="167"/>
      <c r="C18" s="167"/>
      <c r="D18" s="167"/>
      <c r="E18" s="167"/>
      <c r="F18" s="167"/>
    </row>
    <row r="19" spans="1:6" ht="27.75" customHeight="1">
      <c r="A19" s="112" t="s">
        <v>20</v>
      </c>
      <c r="B19" s="167"/>
      <c r="C19" s="167"/>
      <c r="D19" s="167"/>
      <c r="E19" s="167"/>
      <c r="F19" s="167"/>
    </row>
  </sheetData>
  <mergeCells count="4">
    <mergeCell ref="A2:E2"/>
    <mergeCell ref="A1:F1"/>
    <mergeCell ref="A19:F19"/>
    <mergeCell ref="A17:F18"/>
  </mergeCells>
  <hyperlinks>
    <hyperlink ref="A19" r:id="rId1" xr:uid="{00000000-0004-0000-0000-000000000000}"/>
  </hyperlinks>
  <pageMargins left="0.511811024" right="0.511811024" top="0.78740157499999996" bottom="0.78740157499999996" header="0" footer="0"/>
  <pageSetup orientation="landscape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6"/>
  <sheetViews>
    <sheetView showGridLines="0" topLeftCell="AD1" workbookViewId="0"/>
  </sheetViews>
  <sheetFormatPr defaultColWidth="14.42578125" defaultRowHeight="15" customHeight="1"/>
  <cols>
    <col min="1" max="1" width="4.42578125" customWidth="1"/>
    <col min="2" max="2" width="13.140625" customWidth="1"/>
    <col min="3" max="3" width="7.140625" customWidth="1"/>
    <col min="4" max="4" width="12.28515625" customWidth="1"/>
    <col min="5" max="5" width="10.140625" customWidth="1"/>
    <col min="6" max="6" width="17.7109375" customWidth="1"/>
    <col min="7" max="7" width="8.42578125" customWidth="1"/>
    <col min="8" max="8" width="11.42578125" customWidth="1"/>
    <col min="9" max="9" width="9.28515625" customWidth="1"/>
    <col min="10" max="10" width="13.7109375" customWidth="1"/>
    <col min="11" max="11" width="7.42578125" customWidth="1"/>
    <col min="12" max="12" width="9.85546875" customWidth="1"/>
    <col min="13" max="13" width="11.42578125" customWidth="1"/>
    <col min="14" max="14" width="6.7109375" customWidth="1"/>
    <col min="15" max="15" width="7.140625" customWidth="1"/>
    <col min="16" max="16" width="11.42578125" customWidth="1"/>
    <col min="17" max="17" width="4.42578125" customWidth="1"/>
    <col min="18" max="18" width="11.42578125" customWidth="1"/>
    <col min="19" max="19" width="9.28515625" customWidth="1"/>
    <col min="20" max="20" width="9.7109375" customWidth="1"/>
    <col min="21" max="21" width="11.42578125" customWidth="1"/>
    <col min="22" max="22" width="9.28515625" customWidth="1"/>
    <col min="23" max="23" width="10.140625" customWidth="1"/>
    <col min="24" max="24" width="11.140625" customWidth="1"/>
    <col min="25" max="25" width="9.140625" customWidth="1"/>
    <col min="26" max="26" width="14.28515625" customWidth="1"/>
    <col min="27" max="27" width="12.140625" customWidth="1"/>
    <col min="28" max="28" width="13.28515625" customWidth="1"/>
    <col min="29" max="29" width="14.28515625" customWidth="1"/>
    <col min="30" max="30" width="12.140625" customWidth="1"/>
    <col min="31" max="31" width="16.140625" customWidth="1"/>
    <col min="32" max="32" width="14.28515625" customWidth="1"/>
    <col min="33" max="33" width="12.140625" customWidth="1"/>
  </cols>
  <sheetData>
    <row r="1" spans="1:33">
      <c r="A1" s="11"/>
      <c r="B1" s="11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3"/>
      <c r="Y1" s="11"/>
      <c r="Z1" s="11"/>
      <c r="AA1" s="11"/>
      <c r="AB1" s="11"/>
      <c r="AC1" s="11"/>
      <c r="AD1" s="11"/>
      <c r="AE1" s="11"/>
      <c r="AF1" s="11"/>
      <c r="AG1" s="11"/>
    </row>
    <row r="2" spans="1:33">
      <c r="A2" s="11"/>
      <c r="B2" s="119" t="s">
        <v>21</v>
      </c>
      <c r="C2" s="170"/>
      <c r="D2" s="170"/>
      <c r="E2" s="170"/>
      <c r="F2" s="171"/>
      <c r="G2" s="11"/>
      <c r="H2" s="14">
        <f>'VALORES RESUMIDOS'!C7</f>
        <v>20520.764159999999</v>
      </c>
      <c r="I2" s="11"/>
      <c r="J2" s="12"/>
      <c r="K2" s="11"/>
      <c r="L2" s="11"/>
      <c r="M2" s="14">
        <f>'VALORES RESUMIDOS'!C8</f>
        <v>861.08411999999998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5">
        <f>'VALORES RESUMIDOS'!C15</f>
        <v>5500</v>
      </c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6"/>
      <c r="B3" s="113" t="s">
        <v>22</v>
      </c>
      <c r="C3" s="113" t="s">
        <v>23</v>
      </c>
      <c r="D3" s="113" t="s">
        <v>24</v>
      </c>
      <c r="E3" s="113" t="s">
        <v>25</v>
      </c>
      <c r="F3" s="113" t="s">
        <v>26</v>
      </c>
      <c r="G3" s="113" t="s">
        <v>27</v>
      </c>
      <c r="H3" s="120" t="s">
        <v>28</v>
      </c>
      <c r="I3" s="172"/>
      <c r="J3" s="113" t="s">
        <v>29</v>
      </c>
      <c r="K3" s="120" t="s">
        <v>30</v>
      </c>
      <c r="L3" s="172"/>
      <c r="M3" s="122" t="s">
        <v>31</v>
      </c>
      <c r="N3" s="170"/>
      <c r="O3" s="171"/>
      <c r="P3" s="118" t="s">
        <v>32</v>
      </c>
      <c r="Q3" s="172"/>
      <c r="R3" s="120" t="s">
        <v>33</v>
      </c>
      <c r="S3" s="172"/>
      <c r="T3" s="113" t="s">
        <v>34</v>
      </c>
      <c r="U3" s="120" t="s">
        <v>35</v>
      </c>
      <c r="V3" s="173"/>
      <c r="W3" s="172"/>
      <c r="X3" s="113" t="s">
        <v>17</v>
      </c>
      <c r="Y3" s="16"/>
      <c r="Z3" s="114" t="s">
        <v>36</v>
      </c>
      <c r="AA3" s="173"/>
      <c r="AB3" s="173"/>
      <c r="AC3" s="173"/>
      <c r="AD3" s="173"/>
      <c r="AE3" s="173"/>
      <c r="AF3" s="172"/>
      <c r="AG3" s="16"/>
    </row>
    <row r="4" spans="1:33">
      <c r="A4" s="16"/>
      <c r="B4" s="174"/>
      <c r="C4" s="174"/>
      <c r="D4" s="174"/>
      <c r="E4" s="174"/>
      <c r="F4" s="175"/>
      <c r="G4" s="174"/>
      <c r="H4" s="176"/>
      <c r="I4" s="177"/>
      <c r="J4" s="175"/>
      <c r="K4" s="176"/>
      <c r="L4" s="177"/>
      <c r="M4" s="17" t="s">
        <v>12</v>
      </c>
      <c r="N4" s="17" t="s">
        <v>37</v>
      </c>
      <c r="O4" s="17" t="s">
        <v>38</v>
      </c>
      <c r="P4" s="176"/>
      <c r="Q4" s="177"/>
      <c r="R4" s="176"/>
      <c r="S4" s="177"/>
      <c r="T4" s="175"/>
      <c r="U4" s="176"/>
      <c r="V4" s="178"/>
      <c r="W4" s="177"/>
      <c r="X4" s="175"/>
      <c r="Y4" s="16"/>
      <c r="Z4" s="176"/>
      <c r="AA4" s="178"/>
      <c r="AB4" s="178"/>
      <c r="AC4" s="178"/>
      <c r="AD4" s="178"/>
      <c r="AE4" s="178"/>
      <c r="AF4" s="177"/>
      <c r="AG4" s="16"/>
    </row>
    <row r="5" spans="1:33">
      <c r="A5" s="18"/>
      <c r="B5" s="175"/>
      <c r="C5" s="175"/>
      <c r="D5" s="175"/>
      <c r="E5" s="175"/>
      <c r="F5" s="19">
        <v>5.3559999999999999</v>
      </c>
      <c r="G5" s="175"/>
      <c r="H5" s="20">
        <f>H2/(G12+G23)*G12</f>
        <v>4792.2571052197345</v>
      </c>
      <c r="I5" s="21" t="s">
        <v>39</v>
      </c>
      <c r="J5" s="17" t="s">
        <v>40</v>
      </c>
      <c r="K5" s="22">
        <v>0</v>
      </c>
      <c r="L5" s="17" t="s">
        <v>41</v>
      </c>
      <c r="M5" s="23">
        <f>M2/(F25+I25)*(F12+I12)</f>
        <v>303.58132675870564</v>
      </c>
      <c r="N5" s="21" t="s">
        <v>11</v>
      </c>
      <c r="O5" s="21" t="s">
        <v>11</v>
      </c>
      <c r="P5" s="24" t="s">
        <v>42</v>
      </c>
      <c r="Q5" s="25">
        <v>0</v>
      </c>
      <c r="R5" s="17" t="s">
        <v>43</v>
      </c>
      <c r="S5" s="26">
        <v>0.02</v>
      </c>
      <c r="T5" s="26" t="s">
        <v>40</v>
      </c>
      <c r="U5" s="23">
        <f>F12+I12+O12</f>
        <v>446751.59843197849</v>
      </c>
      <c r="V5" s="27">
        <v>2.1000000000000001E-2</v>
      </c>
      <c r="W5" s="27">
        <v>9.6500000000000002E-2</v>
      </c>
      <c r="X5" s="28">
        <f>X2/F25*F12</f>
        <v>1949.8473117253327</v>
      </c>
      <c r="Y5" s="18"/>
      <c r="Z5" s="26" t="s">
        <v>44</v>
      </c>
      <c r="AA5" s="26" t="s">
        <v>45</v>
      </c>
      <c r="AB5" s="26" t="s">
        <v>46</v>
      </c>
      <c r="AC5" s="26" t="s">
        <v>43</v>
      </c>
      <c r="AD5" s="26" t="s">
        <v>47</v>
      </c>
      <c r="AE5" s="26" t="s">
        <v>48</v>
      </c>
      <c r="AF5" s="26" t="s">
        <v>49</v>
      </c>
      <c r="AG5" s="18" t="s">
        <v>50</v>
      </c>
    </row>
    <row r="6" spans="1:33">
      <c r="A6" s="11"/>
      <c r="B6" s="29" t="s">
        <v>51</v>
      </c>
      <c r="C6" s="30">
        <v>200</v>
      </c>
      <c r="D6" s="31">
        <v>155</v>
      </c>
      <c r="E6" s="32">
        <f t="shared" ref="E6:E11" si="0">C6*D6</f>
        <v>31000</v>
      </c>
      <c r="F6" s="33">
        <f t="shared" ref="F6:F11" si="1">E6*$F$5</f>
        <v>166036</v>
      </c>
      <c r="G6" s="34">
        <f t="shared" ref="G6:G11" si="2">$G$12/$C$12*C6</f>
        <v>171.51794871794868</v>
      </c>
      <c r="H6" s="35">
        <f t="shared" ref="H6:H11" si="3">G6*100/$G$12/100</f>
        <v>0.51282051282051266</v>
      </c>
      <c r="I6" s="36">
        <f t="shared" ref="I6:I11" si="4">$H$5*H6</f>
        <v>2457.5677462665299</v>
      </c>
      <c r="J6" s="37">
        <f t="shared" ref="J6:J11" si="5">F6+I6+O6+L6</f>
        <v>168607.69606459685</v>
      </c>
      <c r="K6" s="35">
        <f t="shared" ref="K6:K11" si="6">G6*100/$G$12/100</f>
        <v>0.51282051282051266</v>
      </c>
      <c r="L6" s="36">
        <f t="shared" ref="L6:L11" si="7">$K$5*K6</f>
        <v>0</v>
      </c>
      <c r="M6" s="36">
        <f t="shared" ref="M6:M11" si="8">F6+I6+O6+L6</f>
        <v>168607.69606459685</v>
      </c>
      <c r="N6" s="35">
        <f t="shared" ref="N6:N11" si="9">F6*100/$F$12/100</f>
        <v>0.37593984962406013</v>
      </c>
      <c r="O6" s="33">
        <f t="shared" ref="O6:O11" si="10">$M$5*N6</f>
        <v>114.12831833034046</v>
      </c>
      <c r="P6" s="38">
        <f t="shared" ref="P6:P11" si="11">F6+I6+L6+O6</f>
        <v>168607.69606459685</v>
      </c>
      <c r="Q6" s="38">
        <f t="shared" ref="Q6:Q11" si="12">P6*$Q$5</f>
        <v>0</v>
      </c>
      <c r="R6" s="33">
        <f t="shared" ref="R6:R11" si="13">F6+I6+L6+O6+Q6</f>
        <v>168607.69606459685</v>
      </c>
      <c r="S6" s="33">
        <f t="shared" ref="S6:S11" si="14">R6*$S$5</f>
        <v>3372.153921291937</v>
      </c>
      <c r="T6" s="35">
        <f t="shared" ref="T6:T11" si="15">J6*100/$J$12/100</f>
        <v>0.3774081540085833</v>
      </c>
      <c r="U6" s="33">
        <f t="shared" ref="U6:U11" si="16">$U$5*T6</f>
        <v>168607.69606459691</v>
      </c>
      <c r="V6" s="33">
        <f t="shared" ref="V6:V11" si="17">U6*$V$5</f>
        <v>3540.7616173565352</v>
      </c>
      <c r="W6" s="33">
        <f t="shared" ref="W6:W11" si="18">U6*$W$5</f>
        <v>16270.642670233601</v>
      </c>
      <c r="X6" s="39">
        <f t="shared" ref="X6:X11" si="19">$X$5/$F$12*F6</f>
        <v>733.02530515989952</v>
      </c>
      <c r="Y6" s="11"/>
      <c r="Z6" s="40">
        <f t="shared" ref="Z6:Z11" si="20">F6+I6+O6+Q6</f>
        <v>168607.69606459685</v>
      </c>
      <c r="AA6" s="40">
        <f t="shared" ref="AA6:AB6" si="21">V6</f>
        <v>3540.7616173565352</v>
      </c>
      <c r="AB6" s="40">
        <f t="shared" si="21"/>
        <v>16270.642670233601</v>
      </c>
      <c r="AC6" s="40">
        <f t="shared" ref="AC6:AD6" si="22">R6</f>
        <v>168607.69606459685</v>
      </c>
      <c r="AD6" s="40">
        <f t="shared" si="22"/>
        <v>3372.153921291937</v>
      </c>
      <c r="AE6" s="40">
        <f t="shared" ref="AE6:AE11" si="23">X6</f>
        <v>733.02530515989952</v>
      </c>
      <c r="AF6" s="40">
        <f t="shared" ref="AF6:AF11" si="24">Z6+AD6+AE6</f>
        <v>172712.87529104869</v>
      </c>
      <c r="AG6" s="41">
        <f t="shared" ref="AG6:AG11" si="25">AC6/C6</f>
        <v>843.03848032298424</v>
      </c>
    </row>
    <row r="7" spans="1:33">
      <c r="A7" s="11"/>
      <c r="B7" s="29" t="s">
        <v>52</v>
      </c>
      <c r="C7" s="30">
        <v>60</v>
      </c>
      <c r="D7" s="31">
        <v>165</v>
      </c>
      <c r="E7" s="32">
        <f t="shared" si="0"/>
        <v>9900</v>
      </c>
      <c r="F7" s="33">
        <f t="shared" si="1"/>
        <v>53024.4</v>
      </c>
      <c r="G7" s="34">
        <f t="shared" si="2"/>
        <v>51.45538461538461</v>
      </c>
      <c r="H7" s="35">
        <f t="shared" si="3"/>
        <v>0.15384615384615383</v>
      </c>
      <c r="I7" s="36">
        <f t="shared" si="4"/>
        <v>737.27032387995905</v>
      </c>
      <c r="J7" s="37">
        <f t="shared" si="5"/>
        <v>53798.117754572551</v>
      </c>
      <c r="K7" s="35">
        <f t="shared" si="6"/>
        <v>0.15384615384615383</v>
      </c>
      <c r="L7" s="36">
        <f t="shared" si="7"/>
        <v>0</v>
      </c>
      <c r="M7" s="36">
        <f t="shared" si="8"/>
        <v>53798.117754572551</v>
      </c>
      <c r="N7" s="35">
        <f t="shared" si="9"/>
        <v>0.12005821004123211</v>
      </c>
      <c r="O7" s="33">
        <f t="shared" si="10"/>
        <v>36.447430692592604</v>
      </c>
      <c r="P7" s="38">
        <f t="shared" si="11"/>
        <v>53798.117754572551</v>
      </c>
      <c r="Q7" s="38">
        <f t="shared" si="12"/>
        <v>0</v>
      </c>
      <c r="R7" s="33">
        <f t="shared" si="13"/>
        <v>53798.117754572551</v>
      </c>
      <c r="S7" s="33">
        <f t="shared" si="14"/>
        <v>1075.9623550914509</v>
      </c>
      <c r="T7" s="35">
        <f t="shared" si="15"/>
        <v>0.12042064973778435</v>
      </c>
      <c r="U7" s="33">
        <f t="shared" si="16"/>
        <v>53798.117754572573</v>
      </c>
      <c r="V7" s="33">
        <f t="shared" si="17"/>
        <v>1129.7604728460242</v>
      </c>
      <c r="W7" s="33">
        <f t="shared" si="18"/>
        <v>5191.5183633162533</v>
      </c>
      <c r="X7" s="39">
        <f t="shared" si="19"/>
        <v>234.09517809945177</v>
      </c>
      <c r="Y7" s="11"/>
      <c r="Z7" s="40">
        <f t="shared" si="20"/>
        <v>53798.117754572551</v>
      </c>
      <c r="AA7" s="40">
        <f t="shared" ref="AA7:AB7" si="26">V7</f>
        <v>1129.7604728460242</v>
      </c>
      <c r="AB7" s="40">
        <f t="shared" si="26"/>
        <v>5191.5183633162533</v>
      </c>
      <c r="AC7" s="40">
        <f t="shared" ref="AC7:AD7" si="27">R7</f>
        <v>53798.117754572551</v>
      </c>
      <c r="AD7" s="40">
        <f t="shared" si="27"/>
        <v>1075.9623550914509</v>
      </c>
      <c r="AE7" s="40">
        <f t="shared" si="23"/>
        <v>234.09517809945177</v>
      </c>
      <c r="AF7" s="40">
        <f t="shared" si="24"/>
        <v>55108.17528776345</v>
      </c>
      <c r="AG7" s="41">
        <f t="shared" si="25"/>
        <v>896.63529590954249</v>
      </c>
    </row>
    <row r="8" spans="1:33">
      <c r="A8" s="11"/>
      <c r="B8" s="29" t="s">
        <v>53</v>
      </c>
      <c r="C8" s="30">
        <v>60</v>
      </c>
      <c r="D8" s="31">
        <v>200</v>
      </c>
      <c r="E8" s="32">
        <f t="shared" si="0"/>
        <v>12000</v>
      </c>
      <c r="F8" s="33">
        <f t="shared" si="1"/>
        <v>64272</v>
      </c>
      <c r="G8" s="34">
        <f t="shared" si="2"/>
        <v>51.45538461538461</v>
      </c>
      <c r="H8" s="35">
        <f t="shared" si="3"/>
        <v>0.15384615384615383</v>
      </c>
      <c r="I8" s="36">
        <f t="shared" si="4"/>
        <v>737.27032387995905</v>
      </c>
      <c r="J8" s="37">
        <f t="shared" si="5"/>
        <v>65053.449027749768</v>
      </c>
      <c r="K8" s="35">
        <f t="shared" si="6"/>
        <v>0.15384615384615383</v>
      </c>
      <c r="L8" s="36">
        <f t="shared" si="7"/>
        <v>0</v>
      </c>
      <c r="M8" s="36">
        <f t="shared" si="8"/>
        <v>65053.449027749768</v>
      </c>
      <c r="N8" s="35">
        <f t="shared" si="9"/>
        <v>0.14552510308028135</v>
      </c>
      <c r="O8" s="33">
        <f t="shared" si="10"/>
        <v>44.178703869809212</v>
      </c>
      <c r="P8" s="38">
        <f t="shared" si="11"/>
        <v>65053.449027749768</v>
      </c>
      <c r="Q8" s="38">
        <f t="shared" si="12"/>
        <v>0</v>
      </c>
      <c r="R8" s="33">
        <f t="shared" si="13"/>
        <v>65053.449027749768</v>
      </c>
      <c r="S8" s="33">
        <f t="shared" si="14"/>
        <v>1301.0689805549953</v>
      </c>
      <c r="T8" s="35">
        <f t="shared" si="15"/>
        <v>0.14561436211101703</v>
      </c>
      <c r="U8" s="33">
        <f t="shared" si="16"/>
        <v>65053.449027749783</v>
      </c>
      <c r="V8" s="33">
        <f t="shared" si="17"/>
        <v>1366.1224295827456</v>
      </c>
      <c r="W8" s="33">
        <f t="shared" si="18"/>
        <v>6277.657831177854</v>
      </c>
      <c r="X8" s="39">
        <f t="shared" si="19"/>
        <v>283.75173102963851</v>
      </c>
      <c r="Y8" s="11"/>
      <c r="Z8" s="40">
        <f t="shared" si="20"/>
        <v>65053.449027749768</v>
      </c>
      <c r="AA8" s="40">
        <f t="shared" ref="AA8:AB8" si="28">V8</f>
        <v>1366.1224295827456</v>
      </c>
      <c r="AB8" s="40">
        <f t="shared" si="28"/>
        <v>6277.657831177854</v>
      </c>
      <c r="AC8" s="40">
        <f t="shared" ref="AC8:AD8" si="29">R8</f>
        <v>65053.449027749768</v>
      </c>
      <c r="AD8" s="40">
        <f t="shared" si="29"/>
        <v>1301.0689805549953</v>
      </c>
      <c r="AE8" s="40">
        <f t="shared" si="23"/>
        <v>283.75173102963851</v>
      </c>
      <c r="AF8" s="40">
        <f t="shared" si="24"/>
        <v>66638.269739334399</v>
      </c>
      <c r="AG8" s="41">
        <f t="shared" si="25"/>
        <v>1084.224150462496</v>
      </c>
    </row>
    <row r="9" spans="1:33">
      <c r="A9" s="11"/>
      <c r="B9" s="29" t="s">
        <v>54</v>
      </c>
      <c r="C9" s="30">
        <v>30</v>
      </c>
      <c r="D9" s="31">
        <v>360</v>
      </c>
      <c r="E9" s="32">
        <f t="shared" si="0"/>
        <v>10800</v>
      </c>
      <c r="F9" s="33">
        <f t="shared" si="1"/>
        <v>57844.799999999996</v>
      </c>
      <c r="G9" s="34">
        <f t="shared" si="2"/>
        <v>25.727692307692305</v>
      </c>
      <c r="H9" s="35">
        <f t="shared" si="3"/>
        <v>7.6923076923076913E-2</v>
      </c>
      <c r="I9" s="36">
        <f t="shared" si="4"/>
        <v>368.63516193997953</v>
      </c>
      <c r="J9" s="37">
        <f t="shared" si="5"/>
        <v>58253.1959954228</v>
      </c>
      <c r="K9" s="35">
        <f t="shared" si="6"/>
        <v>7.6923076923076913E-2</v>
      </c>
      <c r="L9" s="36">
        <f t="shared" si="7"/>
        <v>0</v>
      </c>
      <c r="M9" s="36">
        <f t="shared" si="8"/>
        <v>58253.1959954228</v>
      </c>
      <c r="N9" s="35">
        <f t="shared" si="9"/>
        <v>0.1309725927722532</v>
      </c>
      <c r="O9" s="33">
        <f t="shared" si="10"/>
        <v>39.760833482828289</v>
      </c>
      <c r="P9" s="38">
        <f t="shared" si="11"/>
        <v>58253.1959954228</v>
      </c>
      <c r="Q9" s="38">
        <f t="shared" si="12"/>
        <v>0</v>
      </c>
      <c r="R9" s="33">
        <f t="shared" si="13"/>
        <v>58253.1959954228</v>
      </c>
      <c r="S9" s="33">
        <f t="shared" si="14"/>
        <v>1165.063919908456</v>
      </c>
      <c r="T9" s="35">
        <f t="shared" si="15"/>
        <v>0.13039280933718322</v>
      </c>
      <c r="U9" s="33">
        <f t="shared" si="16"/>
        <v>58253.195995422815</v>
      </c>
      <c r="V9" s="33">
        <f t="shared" si="17"/>
        <v>1223.3171159038791</v>
      </c>
      <c r="W9" s="33">
        <f t="shared" si="18"/>
        <v>5621.4334135583022</v>
      </c>
      <c r="X9" s="39">
        <f t="shared" si="19"/>
        <v>255.37655792667465</v>
      </c>
      <c r="Y9" s="11"/>
      <c r="Z9" s="40">
        <f t="shared" si="20"/>
        <v>58253.1959954228</v>
      </c>
      <c r="AA9" s="40">
        <f t="shared" ref="AA9:AB9" si="30">V9</f>
        <v>1223.3171159038791</v>
      </c>
      <c r="AB9" s="40">
        <f t="shared" si="30"/>
        <v>5621.4334135583022</v>
      </c>
      <c r="AC9" s="40">
        <f t="shared" ref="AC9:AD9" si="31">R9</f>
        <v>58253.1959954228</v>
      </c>
      <c r="AD9" s="40">
        <f t="shared" si="31"/>
        <v>1165.063919908456</v>
      </c>
      <c r="AE9" s="40">
        <f t="shared" si="23"/>
        <v>255.37655792667465</v>
      </c>
      <c r="AF9" s="40">
        <f t="shared" si="24"/>
        <v>59673.636473257931</v>
      </c>
      <c r="AG9" s="41">
        <f t="shared" si="25"/>
        <v>1941.7731998474267</v>
      </c>
    </row>
    <row r="10" spans="1:33">
      <c r="A10" s="11"/>
      <c r="B10" s="29" t="s">
        <v>55</v>
      </c>
      <c r="C10" s="30">
        <v>10</v>
      </c>
      <c r="D10" s="31">
        <v>469</v>
      </c>
      <c r="E10" s="32">
        <f t="shared" si="0"/>
        <v>4690</v>
      </c>
      <c r="F10" s="33">
        <f t="shared" si="1"/>
        <v>25119.64</v>
      </c>
      <c r="G10" s="34">
        <f t="shared" si="2"/>
        <v>8.5758974358974349</v>
      </c>
      <c r="H10" s="35">
        <f t="shared" si="3"/>
        <v>2.564102564102564E-2</v>
      </c>
      <c r="I10" s="36">
        <f t="shared" si="4"/>
        <v>122.87838731332653</v>
      </c>
      <c r="J10" s="37">
        <f t="shared" si="5"/>
        <v>25259.784897409107</v>
      </c>
      <c r="K10" s="35">
        <f t="shared" si="6"/>
        <v>2.564102564102564E-2</v>
      </c>
      <c r="L10" s="36">
        <f t="shared" si="7"/>
        <v>0</v>
      </c>
      <c r="M10" s="36">
        <f t="shared" si="8"/>
        <v>25259.784897409107</v>
      </c>
      <c r="N10" s="35">
        <f t="shared" si="9"/>
        <v>5.6876061120543289E-2</v>
      </c>
      <c r="O10" s="33">
        <f t="shared" si="10"/>
        <v>17.266510095783765</v>
      </c>
      <c r="P10" s="38">
        <f t="shared" si="11"/>
        <v>25259.784897409107</v>
      </c>
      <c r="Q10" s="38">
        <f t="shared" si="12"/>
        <v>0</v>
      </c>
      <c r="R10" s="33">
        <f t="shared" si="13"/>
        <v>25259.784897409107</v>
      </c>
      <c r="S10" s="33">
        <f t="shared" si="14"/>
        <v>505.19569794818216</v>
      </c>
      <c r="T10" s="35">
        <f t="shared" si="15"/>
        <v>5.6541006201358039E-2</v>
      </c>
      <c r="U10" s="33">
        <f t="shared" si="16"/>
        <v>25259.784897409114</v>
      </c>
      <c r="V10" s="33">
        <f t="shared" si="17"/>
        <v>530.4554828455914</v>
      </c>
      <c r="W10" s="33">
        <f t="shared" si="18"/>
        <v>2437.5692425999796</v>
      </c>
      <c r="X10" s="39">
        <f t="shared" si="19"/>
        <v>110.89963487741706</v>
      </c>
      <c r="Y10" s="11"/>
      <c r="Z10" s="40">
        <f t="shared" si="20"/>
        <v>25259.784897409107</v>
      </c>
      <c r="AA10" s="40">
        <f t="shared" ref="AA10:AB10" si="32">V10</f>
        <v>530.4554828455914</v>
      </c>
      <c r="AB10" s="40">
        <f t="shared" si="32"/>
        <v>2437.5692425999796</v>
      </c>
      <c r="AC10" s="40">
        <f t="shared" ref="AC10:AD10" si="33">R10</f>
        <v>25259.784897409107</v>
      </c>
      <c r="AD10" s="40">
        <f t="shared" si="33"/>
        <v>505.19569794818216</v>
      </c>
      <c r="AE10" s="40">
        <f t="shared" si="23"/>
        <v>110.89963487741706</v>
      </c>
      <c r="AF10" s="40">
        <f t="shared" si="24"/>
        <v>25875.880230234707</v>
      </c>
      <c r="AG10" s="41">
        <f t="shared" si="25"/>
        <v>2525.9784897409108</v>
      </c>
    </row>
    <row r="11" spans="1:33">
      <c r="A11" s="11"/>
      <c r="B11" s="29" t="s">
        <v>56</v>
      </c>
      <c r="C11" s="30">
        <v>30</v>
      </c>
      <c r="D11" s="31">
        <v>469</v>
      </c>
      <c r="E11" s="32">
        <f t="shared" si="0"/>
        <v>14070</v>
      </c>
      <c r="F11" s="33">
        <f t="shared" si="1"/>
        <v>75358.92</v>
      </c>
      <c r="G11" s="34">
        <f t="shared" si="2"/>
        <v>25.727692307692305</v>
      </c>
      <c r="H11" s="35">
        <f t="shared" si="3"/>
        <v>7.6923076923076913E-2</v>
      </c>
      <c r="I11" s="36">
        <f t="shared" si="4"/>
        <v>368.63516193997953</v>
      </c>
      <c r="J11" s="37">
        <f t="shared" si="5"/>
        <v>75779.354692227324</v>
      </c>
      <c r="K11" s="35">
        <f t="shared" si="6"/>
        <v>7.6923076923076913E-2</v>
      </c>
      <c r="L11" s="36">
        <f t="shared" si="7"/>
        <v>0</v>
      </c>
      <c r="M11" s="36">
        <f t="shared" si="8"/>
        <v>75779.354692227324</v>
      </c>
      <c r="N11" s="35">
        <f t="shared" si="9"/>
        <v>0.17062818336162988</v>
      </c>
      <c r="O11" s="33">
        <f t="shared" si="10"/>
        <v>51.799530287351303</v>
      </c>
      <c r="P11" s="38">
        <f t="shared" si="11"/>
        <v>75779.354692227324</v>
      </c>
      <c r="Q11" s="38">
        <f t="shared" si="12"/>
        <v>0</v>
      </c>
      <c r="R11" s="33">
        <f t="shared" si="13"/>
        <v>75779.354692227324</v>
      </c>
      <c r="S11" s="33">
        <f t="shared" si="14"/>
        <v>1515.5870938445464</v>
      </c>
      <c r="T11" s="35">
        <f t="shared" si="15"/>
        <v>0.16962301860407411</v>
      </c>
      <c r="U11" s="33">
        <f t="shared" si="16"/>
        <v>75779.354692227338</v>
      </c>
      <c r="V11" s="33">
        <f t="shared" si="17"/>
        <v>1591.3664485367742</v>
      </c>
      <c r="W11" s="33">
        <f t="shared" si="18"/>
        <v>7312.7077277999379</v>
      </c>
      <c r="X11" s="39">
        <f t="shared" si="19"/>
        <v>332.69890463225119</v>
      </c>
      <c r="Y11" s="11"/>
      <c r="Z11" s="40">
        <f t="shared" si="20"/>
        <v>75779.354692227324</v>
      </c>
      <c r="AA11" s="40">
        <f t="shared" ref="AA11:AB11" si="34">V11</f>
        <v>1591.3664485367742</v>
      </c>
      <c r="AB11" s="40">
        <f t="shared" si="34"/>
        <v>7312.7077277999379</v>
      </c>
      <c r="AC11" s="40">
        <f t="shared" ref="AC11:AD11" si="35">R11</f>
        <v>75779.354692227324</v>
      </c>
      <c r="AD11" s="40">
        <f t="shared" si="35"/>
        <v>1515.5870938445464</v>
      </c>
      <c r="AE11" s="40">
        <f t="shared" si="23"/>
        <v>332.69890463225119</v>
      </c>
      <c r="AF11" s="40">
        <f t="shared" si="24"/>
        <v>77627.640690704124</v>
      </c>
      <c r="AG11" s="41">
        <f t="shared" si="25"/>
        <v>2525.9784897409108</v>
      </c>
    </row>
    <row r="12" spans="1:33">
      <c r="A12" s="18"/>
      <c r="B12" s="18"/>
      <c r="C12" s="42">
        <f>SUM(C6:C11)</f>
        <v>390</v>
      </c>
      <c r="D12" s="18"/>
      <c r="E12" s="42">
        <f t="shared" ref="E12:F12" si="36">SUM(E6:E11)</f>
        <v>82460</v>
      </c>
      <c r="F12" s="42">
        <f t="shared" si="36"/>
        <v>441655.76</v>
      </c>
      <c r="G12" s="43">
        <v>334.46</v>
      </c>
      <c r="H12" s="44">
        <f t="shared" ref="H12:X12" si="37">SUM(H6:H11)</f>
        <v>0.99999999999999978</v>
      </c>
      <c r="I12" s="42">
        <f t="shared" si="37"/>
        <v>4792.2571052197327</v>
      </c>
      <c r="J12" s="45">
        <f t="shared" si="37"/>
        <v>446751.59843197837</v>
      </c>
      <c r="K12" s="44">
        <f t="shared" si="37"/>
        <v>0.99999999999999978</v>
      </c>
      <c r="L12" s="42">
        <f t="shared" si="37"/>
        <v>0</v>
      </c>
      <c r="M12" s="42">
        <f t="shared" si="37"/>
        <v>446751.59843197837</v>
      </c>
      <c r="N12" s="44">
        <f t="shared" si="37"/>
        <v>1</v>
      </c>
      <c r="O12" s="42">
        <f t="shared" si="37"/>
        <v>303.58132675870559</v>
      </c>
      <c r="P12" s="42">
        <f t="shared" si="37"/>
        <v>446751.59843197837</v>
      </c>
      <c r="Q12" s="42">
        <f t="shared" si="37"/>
        <v>0</v>
      </c>
      <c r="R12" s="42">
        <f t="shared" si="37"/>
        <v>446751.59843197837</v>
      </c>
      <c r="S12" s="42">
        <f t="shared" si="37"/>
        <v>8935.0319686395687</v>
      </c>
      <c r="T12" s="42">
        <f t="shared" si="37"/>
        <v>1</v>
      </c>
      <c r="U12" s="42">
        <f t="shared" si="37"/>
        <v>446751.59843197849</v>
      </c>
      <c r="V12" s="42">
        <f t="shared" si="37"/>
        <v>9381.7835670715485</v>
      </c>
      <c r="W12" s="42">
        <f t="shared" si="37"/>
        <v>43111.529248685925</v>
      </c>
      <c r="X12" s="46">
        <f t="shared" si="37"/>
        <v>1949.8473117253329</v>
      </c>
      <c r="Y12" s="18"/>
      <c r="Z12" s="47">
        <f t="shared" ref="Z12:AF12" si="38">SUM(Z6:Z11)</f>
        <v>446751.59843197837</v>
      </c>
      <c r="AA12" s="47">
        <f t="shared" si="38"/>
        <v>9381.7835670715485</v>
      </c>
      <c r="AB12" s="47">
        <f t="shared" si="38"/>
        <v>43111.529248685925</v>
      </c>
      <c r="AC12" s="47">
        <f t="shared" si="38"/>
        <v>446751.59843197837</v>
      </c>
      <c r="AD12" s="47">
        <f t="shared" si="38"/>
        <v>8935.0319686395687</v>
      </c>
      <c r="AE12" s="47">
        <f t="shared" si="38"/>
        <v>1949.8473117253329</v>
      </c>
      <c r="AF12" s="47">
        <f t="shared" si="38"/>
        <v>457636.47771234327</v>
      </c>
      <c r="AG12" s="18"/>
    </row>
    <row r="13" spans="1:33">
      <c r="A13" s="11"/>
      <c r="B13" s="11"/>
      <c r="C13" s="11"/>
      <c r="D13" s="11"/>
      <c r="E13" s="11"/>
      <c r="F13" s="11"/>
      <c r="G13" s="11"/>
      <c r="H13" s="11"/>
      <c r="I13" s="11"/>
      <c r="J13" s="1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3"/>
      <c r="Y13" s="11"/>
      <c r="Z13" s="47"/>
      <c r="AA13" s="47"/>
      <c r="AB13" s="47"/>
      <c r="AC13" s="47"/>
      <c r="AD13" s="47"/>
      <c r="AE13" s="47"/>
      <c r="AF13" s="47"/>
      <c r="AG13" s="11"/>
    </row>
    <row r="14" spans="1:33">
      <c r="A14" s="11"/>
      <c r="B14" s="119" t="s">
        <v>57</v>
      </c>
      <c r="C14" s="170"/>
      <c r="D14" s="170"/>
      <c r="E14" s="170"/>
      <c r="F14" s="171"/>
      <c r="G14" s="11"/>
      <c r="H14" s="11"/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3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 ht="15" customHeight="1">
      <c r="A15" s="11"/>
      <c r="B15" s="115" t="s">
        <v>22</v>
      </c>
      <c r="C15" s="115" t="s">
        <v>23</v>
      </c>
      <c r="D15" s="113" t="s">
        <v>24</v>
      </c>
      <c r="E15" s="113" t="s">
        <v>25</v>
      </c>
      <c r="F15" s="115" t="s">
        <v>58</v>
      </c>
      <c r="G15" s="115" t="s">
        <v>27</v>
      </c>
      <c r="H15" s="116" t="s">
        <v>28</v>
      </c>
      <c r="I15" s="172"/>
      <c r="J15" s="115" t="s">
        <v>29</v>
      </c>
      <c r="K15" s="116" t="s">
        <v>30</v>
      </c>
      <c r="L15" s="172"/>
      <c r="M15" s="117" t="s">
        <v>31</v>
      </c>
      <c r="N15" s="170"/>
      <c r="O15" s="171"/>
      <c r="P15" s="118" t="s">
        <v>32</v>
      </c>
      <c r="Q15" s="172"/>
      <c r="R15" s="120" t="s">
        <v>33</v>
      </c>
      <c r="S15" s="172"/>
      <c r="T15" s="113" t="s">
        <v>34</v>
      </c>
      <c r="U15" s="120" t="s">
        <v>35</v>
      </c>
      <c r="V15" s="173"/>
      <c r="W15" s="172"/>
      <c r="X15" s="113" t="s">
        <v>17</v>
      </c>
      <c r="Y15" s="11"/>
      <c r="Z15" s="114" t="s">
        <v>36</v>
      </c>
      <c r="AA15" s="173"/>
      <c r="AB15" s="173"/>
      <c r="AC15" s="173"/>
      <c r="AD15" s="173"/>
      <c r="AE15" s="173"/>
      <c r="AF15" s="172"/>
      <c r="AG15" s="11"/>
    </row>
    <row r="16" spans="1:33">
      <c r="A16" s="11"/>
      <c r="B16" s="174"/>
      <c r="C16" s="174"/>
      <c r="D16" s="174"/>
      <c r="E16" s="174"/>
      <c r="F16" s="175"/>
      <c r="G16" s="174"/>
      <c r="H16" s="176"/>
      <c r="I16" s="177"/>
      <c r="J16" s="175"/>
      <c r="K16" s="176"/>
      <c r="L16" s="177"/>
      <c r="M16" s="21" t="s">
        <v>12</v>
      </c>
      <c r="N16" s="30" t="s">
        <v>37</v>
      </c>
      <c r="O16" s="30" t="s">
        <v>38</v>
      </c>
      <c r="P16" s="176"/>
      <c r="Q16" s="177"/>
      <c r="R16" s="176"/>
      <c r="S16" s="177"/>
      <c r="T16" s="175"/>
      <c r="U16" s="176"/>
      <c r="V16" s="178"/>
      <c r="W16" s="177"/>
      <c r="X16" s="175"/>
      <c r="Y16" s="11"/>
      <c r="Z16" s="176"/>
      <c r="AA16" s="178"/>
      <c r="AB16" s="178"/>
      <c r="AC16" s="178"/>
      <c r="AD16" s="178"/>
      <c r="AE16" s="178"/>
      <c r="AF16" s="177"/>
      <c r="AG16" s="11"/>
    </row>
    <row r="17" spans="1:33">
      <c r="A17" s="11"/>
      <c r="B17" s="175"/>
      <c r="C17" s="175"/>
      <c r="D17" s="175"/>
      <c r="E17" s="175"/>
      <c r="F17" s="19">
        <v>5.3559999999999999</v>
      </c>
      <c r="G17" s="175"/>
      <c r="H17" s="48">
        <f>H2/(G12+G23)*G23</f>
        <v>15728.507054780264</v>
      </c>
      <c r="I17" s="30" t="s">
        <v>39</v>
      </c>
      <c r="J17" s="49" t="s">
        <v>40</v>
      </c>
      <c r="K17" s="50">
        <v>0</v>
      </c>
      <c r="L17" s="49" t="s">
        <v>41</v>
      </c>
      <c r="M17" s="51">
        <f>M2/(F25+I25)*(F23+I23)</f>
        <v>557.50279324129428</v>
      </c>
      <c r="N17" s="30" t="s">
        <v>11</v>
      </c>
      <c r="O17" s="30" t="s">
        <v>11</v>
      </c>
      <c r="P17" s="24" t="s">
        <v>42</v>
      </c>
      <c r="Q17" s="25">
        <v>0</v>
      </c>
      <c r="R17" s="17" t="s">
        <v>43</v>
      </c>
      <c r="S17" s="52">
        <v>0.02</v>
      </c>
      <c r="T17" s="26" t="s">
        <v>40</v>
      </c>
      <c r="U17" s="23">
        <f>F23+I23+O23</f>
        <v>820423.53088734148</v>
      </c>
      <c r="V17" s="53">
        <v>2.1000000000000001E-2</v>
      </c>
      <c r="W17" s="53">
        <v>9.6500000000000002E-2</v>
      </c>
      <c r="X17" s="28">
        <f>X2/F25*F23</f>
        <v>3550.1526882746671</v>
      </c>
      <c r="Y17" s="11"/>
      <c r="Z17" s="52" t="s">
        <v>44</v>
      </c>
      <c r="AA17" s="52" t="s">
        <v>45</v>
      </c>
      <c r="AB17" s="52" t="s">
        <v>46</v>
      </c>
      <c r="AC17" s="52" t="s">
        <v>43</v>
      </c>
      <c r="AD17" s="52" t="s">
        <v>47</v>
      </c>
      <c r="AE17" s="52" t="s">
        <v>48</v>
      </c>
      <c r="AF17" s="52" t="s">
        <v>49</v>
      </c>
      <c r="AG17" s="11"/>
    </row>
    <row r="18" spans="1:33">
      <c r="A18" s="11"/>
      <c r="B18" s="29" t="s">
        <v>59</v>
      </c>
      <c r="C18" s="30">
        <v>30</v>
      </c>
      <c r="D18" s="31">
        <v>348.45</v>
      </c>
      <c r="E18" s="32">
        <f t="shared" ref="E18:E22" si="39">C18*D18</f>
        <v>10453.5</v>
      </c>
      <c r="F18" s="33">
        <f t="shared" ref="F18:F22" si="40">E18*$F$5</f>
        <v>55988.945999999996</v>
      </c>
      <c r="G18" s="54">
        <f t="shared" ref="G18:G22" si="41">$G$23/$C$23*C18</f>
        <v>37.852413793103452</v>
      </c>
      <c r="H18" s="35">
        <f t="shared" ref="H18:H22" si="42">G18*100/$G$23/100</f>
        <v>3.4482758620689655E-2</v>
      </c>
      <c r="I18" s="36">
        <f t="shared" ref="I18:I22" si="43">$H$17*H18</f>
        <v>542.36231223380219</v>
      </c>
      <c r="J18" s="37">
        <f t="shared" ref="J18:J22" si="44">F18+I18+O18+L18</f>
        <v>56570.125048138987</v>
      </c>
      <c r="K18" s="35">
        <f t="shared" ref="K18:K22" si="45">G18*100/$G$23/100</f>
        <v>3.4482758620689655E-2</v>
      </c>
      <c r="L18" s="36">
        <f t="shared" ref="L18:L22" si="46">$K$5*K18</f>
        <v>0</v>
      </c>
      <c r="M18" s="36">
        <f t="shared" ref="M18:M22" si="47">F18+I18+O18+L18</f>
        <v>56570.125048138987</v>
      </c>
      <c r="N18" s="35">
        <f t="shared" ref="N18:N22" si="48">F18*100/$F$23/100</f>
        <v>6.9626083269483829E-2</v>
      </c>
      <c r="O18" s="33">
        <f t="shared" ref="O18:O22" si="49">$M$17*N18</f>
        <v>38.816735905188182</v>
      </c>
      <c r="P18" s="38">
        <f t="shared" ref="P18:P22" si="50">F18+I18+L18+O18</f>
        <v>56570.125048138987</v>
      </c>
      <c r="Q18" s="38">
        <f>P18*$Q$17</f>
        <v>0</v>
      </c>
      <c r="R18" s="33">
        <f t="shared" ref="R18:R22" si="51">F18+I18+L18+O18+Q18</f>
        <v>56570.125048138987</v>
      </c>
      <c r="S18" s="33">
        <f t="shared" ref="S18:S22" si="52">R18*$S$17</f>
        <v>1131.4025009627799</v>
      </c>
      <c r="T18" s="35">
        <f t="shared" ref="T18:T22" si="53">J18*100/$J$12/100</f>
        <v>0.12662545639834405</v>
      </c>
      <c r="U18" s="33">
        <f t="shared" ref="U18:U22" si="54">$U$5*T18</f>
        <v>56570.125048139002</v>
      </c>
      <c r="V18" s="33">
        <f t="shared" ref="V18:V22" si="55">U18*$V$17</f>
        <v>1187.9726260109192</v>
      </c>
      <c r="W18" s="33">
        <f t="shared" ref="W18:W22" si="56">U18*$W$17</f>
        <v>5459.0170671454134</v>
      </c>
      <c r="X18" s="39">
        <f t="shared" ref="X18:X22" si="57">$X$17/$F$23*F18</f>
        <v>247.18322669319383</v>
      </c>
      <c r="Y18" s="11"/>
      <c r="Z18" s="40">
        <f t="shared" ref="Z18:Z22" si="58">F18+I18+O18+Q18</f>
        <v>56570.125048138987</v>
      </c>
      <c r="AA18" s="40">
        <f t="shared" ref="AA18:AB18" si="59">V18</f>
        <v>1187.9726260109192</v>
      </c>
      <c r="AB18" s="40">
        <f t="shared" si="59"/>
        <v>5459.0170671454134</v>
      </c>
      <c r="AC18" s="40">
        <f t="shared" ref="AC18:AD18" si="60">R18</f>
        <v>56570.125048138987</v>
      </c>
      <c r="AD18" s="40">
        <f t="shared" si="60"/>
        <v>1131.4025009627799</v>
      </c>
      <c r="AE18" s="40">
        <f t="shared" ref="AE18:AE22" si="61">X18</f>
        <v>247.18322669319383</v>
      </c>
      <c r="AF18" s="40">
        <f t="shared" ref="AF18:AF22" si="62">Z18+AD18+AE18</f>
        <v>57948.710775794963</v>
      </c>
      <c r="AG18" s="41">
        <f t="shared" ref="AG18:AG22" si="63">AC18/C18</f>
        <v>1885.6708349379662</v>
      </c>
    </row>
    <row r="19" spans="1:33">
      <c r="A19" s="11"/>
      <c r="B19" s="29" t="s">
        <v>60</v>
      </c>
      <c r="C19" s="30">
        <v>120</v>
      </c>
      <c r="D19" s="31">
        <v>267.64999999999998</v>
      </c>
      <c r="E19" s="32">
        <f t="shared" si="39"/>
        <v>32117.999999999996</v>
      </c>
      <c r="F19" s="33">
        <f t="shared" si="40"/>
        <v>172024.00799999997</v>
      </c>
      <c r="G19" s="54">
        <f t="shared" si="41"/>
        <v>151.40965517241381</v>
      </c>
      <c r="H19" s="35">
        <f t="shared" si="42"/>
        <v>0.13793103448275862</v>
      </c>
      <c r="I19" s="36">
        <f t="shared" si="43"/>
        <v>2169.4492489352087</v>
      </c>
      <c r="J19" s="37">
        <f t="shared" si="44"/>
        <v>174312.72026360041</v>
      </c>
      <c r="K19" s="35">
        <f t="shared" si="45"/>
        <v>0.13793103448275862</v>
      </c>
      <c r="L19" s="36">
        <f t="shared" si="46"/>
        <v>0</v>
      </c>
      <c r="M19" s="36">
        <f t="shared" si="47"/>
        <v>174312.72026360041</v>
      </c>
      <c r="N19" s="35">
        <f t="shared" si="48"/>
        <v>0.21392361816131264</v>
      </c>
      <c r="O19" s="33">
        <f t="shared" si="49"/>
        <v>119.26301466521586</v>
      </c>
      <c r="P19" s="38">
        <f t="shared" si="50"/>
        <v>174312.72026360041</v>
      </c>
      <c r="Q19" s="38">
        <f t="shared" ref="Q19:Q22" si="64">P19*$Q$5</f>
        <v>0</v>
      </c>
      <c r="R19" s="33">
        <f t="shared" si="51"/>
        <v>174312.72026360041</v>
      </c>
      <c r="S19" s="33">
        <f t="shared" si="52"/>
        <v>3486.2544052720082</v>
      </c>
      <c r="T19" s="35">
        <f t="shared" si="53"/>
        <v>0.39017816808134148</v>
      </c>
      <c r="U19" s="33">
        <f t="shared" si="54"/>
        <v>174312.72026360047</v>
      </c>
      <c r="V19" s="33">
        <f t="shared" si="55"/>
        <v>3660.5671255356101</v>
      </c>
      <c r="W19" s="33">
        <f t="shared" si="56"/>
        <v>16821.177505437445</v>
      </c>
      <c r="X19" s="39">
        <f t="shared" si="57"/>
        <v>759.46150810082736</v>
      </c>
      <c r="Y19" s="11"/>
      <c r="Z19" s="40">
        <f t="shared" si="58"/>
        <v>174312.72026360041</v>
      </c>
      <c r="AA19" s="40">
        <f t="shared" ref="AA19:AB19" si="65">V19</f>
        <v>3660.5671255356101</v>
      </c>
      <c r="AB19" s="40">
        <f t="shared" si="65"/>
        <v>16821.177505437445</v>
      </c>
      <c r="AC19" s="40">
        <f t="shared" ref="AC19:AD19" si="66">R19</f>
        <v>174312.72026360041</v>
      </c>
      <c r="AD19" s="40">
        <f t="shared" si="66"/>
        <v>3486.2544052720082</v>
      </c>
      <c r="AE19" s="40">
        <f t="shared" si="61"/>
        <v>759.46150810082736</v>
      </c>
      <c r="AF19" s="40">
        <f t="shared" si="62"/>
        <v>178558.43617697325</v>
      </c>
      <c r="AG19" s="41">
        <f t="shared" si="63"/>
        <v>1452.60600219667</v>
      </c>
    </row>
    <row r="20" spans="1:33">
      <c r="A20" s="11"/>
      <c r="B20" s="29" t="s">
        <v>61</v>
      </c>
      <c r="C20" s="30">
        <v>120</v>
      </c>
      <c r="D20" s="31">
        <v>181.81</v>
      </c>
      <c r="E20" s="32">
        <f t="shared" si="39"/>
        <v>21817.200000000001</v>
      </c>
      <c r="F20" s="33">
        <f t="shared" si="40"/>
        <v>116852.9232</v>
      </c>
      <c r="G20" s="54">
        <f t="shared" si="41"/>
        <v>151.40965517241381</v>
      </c>
      <c r="H20" s="35">
        <f t="shared" si="42"/>
        <v>0.13793103448275862</v>
      </c>
      <c r="I20" s="36">
        <f t="shared" si="43"/>
        <v>2169.4492489352087</v>
      </c>
      <c r="J20" s="37">
        <f t="shared" si="44"/>
        <v>119103.38574501697</v>
      </c>
      <c r="K20" s="35">
        <f t="shared" si="45"/>
        <v>0.13793103448275862</v>
      </c>
      <c r="L20" s="36">
        <f t="shared" si="46"/>
        <v>0</v>
      </c>
      <c r="M20" s="36">
        <f t="shared" si="47"/>
        <v>119103.38574501697</v>
      </c>
      <c r="N20" s="35">
        <f t="shared" si="48"/>
        <v>0.14531460122513826</v>
      </c>
      <c r="O20" s="33">
        <f t="shared" si="49"/>
        <v>81.013296081759378</v>
      </c>
      <c r="P20" s="38">
        <f t="shared" si="50"/>
        <v>119103.38574501697</v>
      </c>
      <c r="Q20" s="38">
        <f t="shared" si="64"/>
        <v>0</v>
      </c>
      <c r="R20" s="33">
        <f t="shared" si="51"/>
        <v>119103.38574501697</v>
      </c>
      <c r="S20" s="33">
        <f t="shared" si="52"/>
        <v>2382.0677149003395</v>
      </c>
      <c r="T20" s="35">
        <f t="shared" si="53"/>
        <v>0.26659867846707086</v>
      </c>
      <c r="U20" s="33">
        <f t="shared" si="54"/>
        <v>119103.38574501699</v>
      </c>
      <c r="V20" s="33">
        <f t="shared" si="55"/>
        <v>2501.171100645357</v>
      </c>
      <c r="W20" s="33">
        <f t="shared" si="56"/>
        <v>11493.476724394141</v>
      </c>
      <c r="X20" s="39">
        <f t="shared" si="57"/>
        <v>515.88902218498583</v>
      </c>
      <c r="Y20" s="11"/>
      <c r="Z20" s="40">
        <f t="shared" si="58"/>
        <v>119103.38574501697</v>
      </c>
      <c r="AA20" s="40">
        <f t="shared" ref="AA20:AB20" si="67">V20</f>
        <v>2501.171100645357</v>
      </c>
      <c r="AB20" s="40">
        <f t="shared" si="67"/>
        <v>11493.476724394141</v>
      </c>
      <c r="AC20" s="40">
        <f t="shared" ref="AC20:AD20" si="68">R20</f>
        <v>119103.38574501697</v>
      </c>
      <c r="AD20" s="40">
        <f t="shared" si="68"/>
        <v>2382.0677149003395</v>
      </c>
      <c r="AE20" s="40">
        <f t="shared" si="61"/>
        <v>515.88902218498583</v>
      </c>
      <c r="AF20" s="40">
        <f t="shared" si="62"/>
        <v>122001.34248210231</v>
      </c>
      <c r="AG20" s="41">
        <f t="shared" si="63"/>
        <v>992.5282145418081</v>
      </c>
    </row>
    <row r="21" spans="1:33" ht="15.75" customHeight="1">
      <c r="A21" s="11"/>
      <c r="B21" s="29" t="s">
        <v>62</v>
      </c>
      <c r="C21" s="30">
        <v>300</v>
      </c>
      <c r="D21" s="31">
        <v>151.5</v>
      </c>
      <c r="E21" s="32">
        <f t="shared" si="39"/>
        <v>45450</v>
      </c>
      <c r="F21" s="33">
        <f t="shared" si="40"/>
        <v>243430.19999999998</v>
      </c>
      <c r="G21" s="54">
        <f t="shared" si="41"/>
        <v>378.52413793103449</v>
      </c>
      <c r="H21" s="35">
        <f t="shared" si="42"/>
        <v>0.34482758620689657</v>
      </c>
      <c r="I21" s="36">
        <f t="shared" si="43"/>
        <v>5423.6231223380228</v>
      </c>
      <c r="J21" s="37">
        <f t="shared" si="44"/>
        <v>249022.5915393171</v>
      </c>
      <c r="K21" s="35">
        <f t="shared" si="45"/>
        <v>0.34482758620689657</v>
      </c>
      <c r="L21" s="36">
        <f t="shared" si="46"/>
        <v>0</v>
      </c>
      <c r="M21" s="36">
        <f t="shared" si="47"/>
        <v>249022.5915393171</v>
      </c>
      <c r="N21" s="35">
        <f t="shared" si="48"/>
        <v>0.30272210117166887</v>
      </c>
      <c r="O21" s="33">
        <f t="shared" si="49"/>
        <v>168.76841697907909</v>
      </c>
      <c r="P21" s="38">
        <f t="shared" si="50"/>
        <v>249022.5915393171</v>
      </c>
      <c r="Q21" s="38">
        <f t="shared" si="64"/>
        <v>0</v>
      </c>
      <c r="R21" s="33">
        <f t="shared" si="51"/>
        <v>249022.5915393171</v>
      </c>
      <c r="S21" s="33">
        <f t="shared" si="52"/>
        <v>4980.4518307863418</v>
      </c>
      <c r="T21" s="35">
        <f t="shared" si="53"/>
        <v>0.5574072760194787</v>
      </c>
      <c r="U21" s="33">
        <f t="shared" si="54"/>
        <v>249022.59153931713</v>
      </c>
      <c r="V21" s="33">
        <f t="shared" si="55"/>
        <v>5229.4744223256603</v>
      </c>
      <c r="W21" s="33">
        <f t="shared" si="56"/>
        <v>24030.680083544103</v>
      </c>
      <c r="X21" s="39">
        <f t="shared" si="57"/>
        <v>1074.7096812747559</v>
      </c>
      <c r="Y21" s="11"/>
      <c r="Z21" s="40">
        <f t="shared" si="58"/>
        <v>249022.5915393171</v>
      </c>
      <c r="AA21" s="40">
        <f t="shared" ref="AA21:AB21" si="69">V21</f>
        <v>5229.4744223256603</v>
      </c>
      <c r="AB21" s="40">
        <f t="shared" si="69"/>
        <v>24030.680083544103</v>
      </c>
      <c r="AC21" s="40">
        <f t="shared" ref="AC21:AD21" si="70">R21</f>
        <v>249022.5915393171</v>
      </c>
      <c r="AD21" s="40">
        <f t="shared" si="70"/>
        <v>4980.4518307863418</v>
      </c>
      <c r="AE21" s="40">
        <f t="shared" si="61"/>
        <v>1074.7096812747559</v>
      </c>
      <c r="AF21" s="40">
        <f t="shared" si="62"/>
        <v>255077.75305137818</v>
      </c>
      <c r="AG21" s="41">
        <f t="shared" si="63"/>
        <v>830.07530513105701</v>
      </c>
    </row>
    <row r="22" spans="1:33" ht="15.75" customHeight="1">
      <c r="A22" s="11"/>
      <c r="B22" s="29" t="s">
        <v>63</v>
      </c>
      <c r="C22" s="30">
        <v>300</v>
      </c>
      <c r="D22" s="31">
        <v>134.32999989999999</v>
      </c>
      <c r="E22" s="32">
        <f t="shared" si="39"/>
        <v>40298.999969999997</v>
      </c>
      <c r="F22" s="33">
        <f t="shared" si="40"/>
        <v>215841.44383931998</v>
      </c>
      <c r="G22" s="54">
        <f t="shared" si="41"/>
        <v>378.52413793103449</v>
      </c>
      <c r="H22" s="35">
        <f t="shared" si="42"/>
        <v>0.34482758620689657</v>
      </c>
      <c r="I22" s="36">
        <f t="shared" si="43"/>
        <v>5423.6231223380228</v>
      </c>
      <c r="J22" s="37">
        <f t="shared" si="44"/>
        <v>221414.70829126806</v>
      </c>
      <c r="K22" s="35">
        <f t="shared" si="45"/>
        <v>0.34482758620689657</v>
      </c>
      <c r="L22" s="36">
        <f t="shared" si="46"/>
        <v>0</v>
      </c>
      <c r="M22" s="36">
        <f t="shared" si="47"/>
        <v>221414.70829126806</v>
      </c>
      <c r="N22" s="35">
        <f t="shared" si="48"/>
        <v>0.26841359617239646</v>
      </c>
      <c r="O22" s="33">
        <f t="shared" si="49"/>
        <v>149.6413296100518</v>
      </c>
      <c r="P22" s="38">
        <f t="shared" si="50"/>
        <v>221414.70829126806</v>
      </c>
      <c r="Q22" s="38">
        <f t="shared" si="64"/>
        <v>0</v>
      </c>
      <c r="R22" s="33">
        <f t="shared" si="51"/>
        <v>221414.70829126806</v>
      </c>
      <c r="S22" s="33">
        <f t="shared" si="52"/>
        <v>4428.2941658253612</v>
      </c>
      <c r="T22" s="35">
        <f t="shared" si="53"/>
        <v>0.49561033260629794</v>
      </c>
      <c r="U22" s="33">
        <f t="shared" si="54"/>
        <v>221414.70829126812</v>
      </c>
      <c r="V22" s="33">
        <f t="shared" si="55"/>
        <v>4649.7088741166308</v>
      </c>
      <c r="W22" s="33">
        <f t="shared" si="56"/>
        <v>21366.519350107374</v>
      </c>
      <c r="X22" s="39">
        <f t="shared" si="57"/>
        <v>952.9092500209041</v>
      </c>
      <c r="Y22" s="11"/>
      <c r="Z22" s="40">
        <f t="shared" si="58"/>
        <v>221414.70829126806</v>
      </c>
      <c r="AA22" s="40">
        <f t="shared" ref="AA22:AB22" si="71">V22</f>
        <v>4649.7088741166308</v>
      </c>
      <c r="AB22" s="40">
        <f t="shared" si="71"/>
        <v>21366.519350107374</v>
      </c>
      <c r="AC22" s="40">
        <f t="shared" ref="AC22:AD22" si="72">R22</f>
        <v>221414.70829126806</v>
      </c>
      <c r="AD22" s="40">
        <f t="shared" si="72"/>
        <v>4428.2941658253612</v>
      </c>
      <c r="AE22" s="40">
        <f t="shared" si="61"/>
        <v>952.9092500209041</v>
      </c>
      <c r="AF22" s="40">
        <f t="shared" si="62"/>
        <v>226795.91170711431</v>
      </c>
      <c r="AG22" s="41">
        <f t="shared" si="63"/>
        <v>738.04902763756024</v>
      </c>
    </row>
    <row r="23" spans="1:33" ht="15.75" customHeight="1">
      <c r="A23" s="18"/>
      <c r="B23" s="18"/>
      <c r="C23" s="42">
        <f>SUM(C18:C22)</f>
        <v>870</v>
      </c>
      <c r="D23" s="18"/>
      <c r="E23" s="42">
        <f t="shared" ref="E23:F23" si="73">SUM(E18:E22)</f>
        <v>150137.69996999999</v>
      </c>
      <c r="F23" s="42">
        <f t="shared" si="73"/>
        <v>804137.52103931992</v>
      </c>
      <c r="G23" s="42">
        <v>1097.72</v>
      </c>
      <c r="H23" s="42">
        <f t="shared" ref="H23:X23" si="74">SUM(H18:H22)</f>
        <v>1</v>
      </c>
      <c r="I23" s="42">
        <f t="shared" si="74"/>
        <v>15728.507054780264</v>
      </c>
      <c r="J23" s="45">
        <f t="shared" si="74"/>
        <v>820423.53088734148</v>
      </c>
      <c r="K23" s="42">
        <f t="shared" si="74"/>
        <v>1</v>
      </c>
      <c r="L23" s="42">
        <f t="shared" si="74"/>
        <v>0</v>
      </c>
      <c r="M23" s="42">
        <f t="shared" si="74"/>
        <v>820423.53088734148</v>
      </c>
      <c r="N23" s="44">
        <f t="shared" si="74"/>
        <v>1</v>
      </c>
      <c r="O23" s="42">
        <f t="shared" si="74"/>
        <v>557.50279324129428</v>
      </c>
      <c r="P23" s="42">
        <f t="shared" si="74"/>
        <v>820423.53088734148</v>
      </c>
      <c r="Q23" s="42">
        <f t="shared" si="74"/>
        <v>0</v>
      </c>
      <c r="R23" s="42">
        <f t="shared" si="74"/>
        <v>820423.53088734148</v>
      </c>
      <c r="S23" s="42">
        <f t="shared" si="74"/>
        <v>16408.470617746832</v>
      </c>
      <c r="T23" s="42">
        <f t="shared" si="74"/>
        <v>1.836419911572533</v>
      </c>
      <c r="U23" s="42">
        <f t="shared" si="74"/>
        <v>820423.53088734171</v>
      </c>
      <c r="V23" s="42">
        <f t="shared" si="74"/>
        <v>17228.894148634176</v>
      </c>
      <c r="W23" s="42">
        <f t="shared" si="74"/>
        <v>79170.870730628478</v>
      </c>
      <c r="X23" s="46">
        <f t="shared" si="74"/>
        <v>3550.1526882746671</v>
      </c>
      <c r="Y23" s="18"/>
      <c r="Z23" s="47">
        <f t="shared" ref="Z23:AF23" si="75">SUM(Z18:Z22)</f>
        <v>820423.53088734148</v>
      </c>
      <c r="AA23" s="47">
        <f t="shared" si="75"/>
        <v>17228.894148634176</v>
      </c>
      <c r="AB23" s="47">
        <f t="shared" si="75"/>
        <v>79170.870730628478</v>
      </c>
      <c r="AC23" s="47">
        <f t="shared" si="75"/>
        <v>820423.53088734148</v>
      </c>
      <c r="AD23" s="47">
        <f t="shared" si="75"/>
        <v>16408.470617746832</v>
      </c>
      <c r="AE23" s="47">
        <f t="shared" si="75"/>
        <v>3550.1526882746671</v>
      </c>
      <c r="AF23" s="47">
        <f t="shared" si="75"/>
        <v>840382.15419336304</v>
      </c>
      <c r="AG23" s="18"/>
    </row>
    <row r="24" spans="1:33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3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ht="15.75" customHeight="1">
      <c r="A25" s="18"/>
      <c r="B25" s="121" t="s">
        <v>64</v>
      </c>
      <c r="C25" s="167"/>
      <c r="D25" s="167"/>
      <c r="E25" s="55">
        <f t="shared" ref="E25:G25" si="76">E12+E23</f>
        <v>232597.69996999999</v>
      </c>
      <c r="F25" s="55">
        <f t="shared" si="76"/>
        <v>1245793.2810393199</v>
      </c>
      <c r="G25" s="55">
        <f t="shared" si="76"/>
        <v>1432.18</v>
      </c>
      <c r="H25" s="18"/>
      <c r="I25" s="55">
        <f t="shared" ref="I25:J25" si="77">I12+I23</f>
        <v>20520.764159999999</v>
      </c>
      <c r="J25" s="56">
        <f t="shared" si="77"/>
        <v>1267175.12931932</v>
      </c>
      <c r="K25" s="18"/>
      <c r="L25" s="55"/>
      <c r="M25" s="55">
        <f>M12+M23</f>
        <v>1267175.12931932</v>
      </c>
      <c r="N25" s="18"/>
      <c r="O25" s="55">
        <f t="shared" ref="O25:S25" si="78">O12+O23</f>
        <v>861.08411999999987</v>
      </c>
      <c r="P25" s="55">
        <f t="shared" si="78"/>
        <v>1267175.12931932</v>
      </c>
      <c r="Q25" s="55">
        <f t="shared" si="78"/>
        <v>0</v>
      </c>
      <c r="R25" s="55">
        <f t="shared" si="78"/>
        <v>1267175.12931932</v>
      </c>
      <c r="S25" s="55">
        <f t="shared" si="78"/>
        <v>25343.502586386399</v>
      </c>
      <c r="T25" s="18"/>
      <c r="U25" s="55">
        <f t="shared" ref="U25:X25" si="79">U12+U23</f>
        <v>1267175.1293193202</v>
      </c>
      <c r="V25" s="55">
        <f t="shared" si="79"/>
        <v>26610.677715705722</v>
      </c>
      <c r="W25" s="55">
        <f t="shared" si="79"/>
        <v>122282.3999793144</v>
      </c>
      <c r="X25" s="57">
        <f t="shared" si="79"/>
        <v>5500</v>
      </c>
      <c r="Y25" s="18"/>
      <c r="Z25" s="47">
        <f t="shared" ref="Z25:AF25" si="80">Z12+Z23</f>
        <v>1267175.12931932</v>
      </c>
      <c r="AA25" s="47">
        <f t="shared" si="80"/>
        <v>26610.677715705722</v>
      </c>
      <c r="AB25" s="47">
        <f t="shared" si="80"/>
        <v>122282.3999793144</v>
      </c>
      <c r="AC25" s="47">
        <f t="shared" si="80"/>
        <v>1267175.12931932</v>
      </c>
      <c r="AD25" s="47">
        <f t="shared" si="80"/>
        <v>25343.502586386399</v>
      </c>
      <c r="AE25" s="47">
        <f t="shared" si="80"/>
        <v>5500</v>
      </c>
      <c r="AF25" s="47">
        <f t="shared" si="80"/>
        <v>1298018.6319057064</v>
      </c>
      <c r="AG25" s="18"/>
    </row>
    <row r="26" spans="1:33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3"/>
      <c r="Y26" s="11"/>
      <c r="Z26" s="11"/>
      <c r="AA26" s="11"/>
      <c r="AB26" s="11"/>
      <c r="AC26" s="11"/>
      <c r="AD26" s="11"/>
      <c r="AE26" s="11"/>
      <c r="AF26" s="11"/>
      <c r="AG26" s="11"/>
    </row>
  </sheetData>
  <mergeCells count="35">
    <mergeCell ref="X3:X4"/>
    <mergeCell ref="Z3:AF4"/>
    <mergeCell ref="H3:I4"/>
    <mergeCell ref="J3:J4"/>
    <mergeCell ref="K3:L4"/>
    <mergeCell ref="M3:O3"/>
    <mergeCell ref="P3:Q4"/>
    <mergeCell ref="R3:S4"/>
    <mergeCell ref="T3:T4"/>
    <mergeCell ref="B25:D25"/>
    <mergeCell ref="B2:F2"/>
    <mergeCell ref="C3:C5"/>
    <mergeCell ref="D3:D5"/>
    <mergeCell ref="E3:E5"/>
    <mergeCell ref="F3:F4"/>
    <mergeCell ref="B3:B5"/>
    <mergeCell ref="B15:B17"/>
    <mergeCell ref="C15:C17"/>
    <mergeCell ref="D15:D17"/>
    <mergeCell ref="E15:E17"/>
    <mergeCell ref="G3:G5"/>
    <mergeCell ref="B14:F14"/>
    <mergeCell ref="R15:S16"/>
    <mergeCell ref="T15:T16"/>
    <mergeCell ref="U15:W16"/>
    <mergeCell ref="U3:W4"/>
    <mergeCell ref="X15:X16"/>
    <mergeCell ref="Z15:AF16"/>
    <mergeCell ref="F15:F16"/>
    <mergeCell ref="G15:G17"/>
    <mergeCell ref="H15:I16"/>
    <mergeCell ref="J15:J16"/>
    <mergeCell ref="K15:L16"/>
    <mergeCell ref="M15:O15"/>
    <mergeCell ref="P15:Q16"/>
  </mergeCells>
  <pageMargins left="0.51180555555555496" right="0.51180555555555496" top="0.78749999999999998" bottom="0.78749999999999998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showGridLines="0" workbookViewId="0">
      <selection activeCell="J7" sqref="J7"/>
    </sheetView>
  </sheetViews>
  <sheetFormatPr defaultColWidth="14.42578125" defaultRowHeight="15" customHeight="1"/>
  <cols>
    <col min="1" max="1" width="13.42578125" customWidth="1"/>
    <col min="2" max="2" width="9.42578125" customWidth="1"/>
    <col min="3" max="3" width="11.85546875" customWidth="1"/>
    <col min="4" max="4" width="13.28515625" customWidth="1"/>
    <col min="5" max="5" width="21.42578125" customWidth="1"/>
    <col min="6" max="6" width="12.42578125" customWidth="1"/>
    <col min="7" max="7" width="8.85546875" customWidth="1"/>
    <col min="8" max="8" width="6.140625" customWidth="1"/>
    <col min="9" max="9" width="13.85546875" customWidth="1"/>
    <col min="10" max="10" width="12.85546875" customWidth="1"/>
    <col min="11" max="11" width="8.85546875" customWidth="1"/>
    <col min="12" max="13" width="16.28515625" customWidth="1"/>
    <col min="14" max="14" width="16.42578125" customWidth="1"/>
    <col min="15" max="15" width="20.140625" customWidth="1"/>
    <col min="16" max="16" width="12.28515625" customWidth="1"/>
    <col min="17" max="19" width="8.85546875" customWidth="1"/>
  </cols>
  <sheetData>
    <row r="1" spans="1:18">
      <c r="A1" s="156" t="s">
        <v>65</v>
      </c>
      <c r="B1" s="173"/>
      <c r="C1" s="173"/>
      <c r="D1" s="173"/>
      <c r="E1" s="173"/>
      <c r="F1" s="172"/>
      <c r="G1" s="157" t="s">
        <v>66</v>
      </c>
      <c r="H1" s="173"/>
      <c r="I1" s="173"/>
      <c r="J1" s="172"/>
      <c r="K1" s="72"/>
      <c r="L1" s="73"/>
      <c r="M1" s="73"/>
      <c r="N1" s="73"/>
      <c r="O1" s="73"/>
      <c r="P1" s="73"/>
      <c r="Q1" s="73"/>
      <c r="R1" s="74"/>
    </row>
    <row r="2" spans="1:18">
      <c r="A2" s="179"/>
      <c r="B2" s="167"/>
      <c r="C2" s="167"/>
      <c r="D2" s="167"/>
      <c r="E2" s="167"/>
      <c r="F2" s="180"/>
      <c r="G2" s="158" t="s">
        <v>67</v>
      </c>
      <c r="H2" s="167"/>
      <c r="I2" s="167"/>
      <c r="J2" s="180"/>
      <c r="K2" s="75"/>
      <c r="L2" s="76"/>
      <c r="M2" s="76"/>
      <c r="N2" s="76"/>
      <c r="O2" s="76"/>
      <c r="P2" s="76"/>
      <c r="Q2" s="76"/>
      <c r="R2" s="77"/>
    </row>
    <row r="3" spans="1:18">
      <c r="A3" s="159" t="s">
        <v>68</v>
      </c>
      <c r="B3" s="167"/>
      <c r="C3" s="167"/>
      <c r="D3" s="167"/>
      <c r="E3" s="167"/>
      <c r="F3" s="180"/>
      <c r="G3" s="158" t="s">
        <v>69</v>
      </c>
      <c r="H3" s="167"/>
      <c r="I3" s="167"/>
      <c r="J3" s="180"/>
      <c r="K3" s="75"/>
      <c r="L3" s="76"/>
      <c r="M3" s="76"/>
      <c r="N3" s="76"/>
      <c r="O3" s="76"/>
      <c r="P3" s="76"/>
      <c r="Q3" s="76"/>
      <c r="R3" s="77"/>
    </row>
    <row r="4" spans="1:18">
      <c r="A4" s="160" t="s">
        <v>70</v>
      </c>
      <c r="B4" s="167"/>
      <c r="C4" s="167"/>
      <c r="D4" s="167"/>
      <c r="E4" s="167"/>
      <c r="F4" s="180"/>
      <c r="G4" s="75" t="s">
        <v>71</v>
      </c>
      <c r="H4" s="76"/>
      <c r="I4" s="76"/>
      <c r="J4" s="162">
        <v>0</v>
      </c>
      <c r="K4" s="78"/>
      <c r="L4" s="79"/>
      <c r="M4" s="79"/>
      <c r="N4" s="79"/>
      <c r="O4" s="79"/>
      <c r="P4" s="79"/>
      <c r="Q4" s="79"/>
      <c r="R4" s="80"/>
    </row>
    <row r="5" spans="1:18">
      <c r="A5" s="160" t="s">
        <v>72</v>
      </c>
      <c r="B5" s="167"/>
      <c r="C5" s="167"/>
      <c r="D5" s="167"/>
      <c r="E5" s="167"/>
      <c r="F5" s="180"/>
      <c r="G5" s="75" t="s">
        <v>73</v>
      </c>
      <c r="H5" s="76"/>
      <c r="I5" s="76"/>
      <c r="J5" s="175"/>
      <c r="K5" s="163" t="s">
        <v>74</v>
      </c>
      <c r="L5" s="173"/>
      <c r="M5" s="173"/>
      <c r="N5" s="173"/>
      <c r="O5" s="173"/>
      <c r="P5" s="173"/>
      <c r="Q5" s="173"/>
      <c r="R5" s="172"/>
    </row>
    <row r="6" spans="1:18" ht="15" customHeight="1">
      <c r="A6" s="161" t="s">
        <v>75</v>
      </c>
      <c r="B6" s="167"/>
      <c r="C6" s="167"/>
      <c r="D6" s="167"/>
      <c r="E6" s="167"/>
      <c r="F6" s="180"/>
      <c r="G6" s="81" t="s">
        <v>76</v>
      </c>
      <c r="H6" s="76"/>
      <c r="I6" s="76"/>
      <c r="J6" s="82"/>
      <c r="K6" s="179"/>
      <c r="L6" s="167"/>
      <c r="M6" s="167"/>
      <c r="N6" s="167"/>
      <c r="O6" s="167"/>
      <c r="P6" s="167"/>
      <c r="Q6" s="167"/>
      <c r="R6" s="180"/>
    </row>
    <row r="7" spans="1:18" ht="21" customHeight="1">
      <c r="A7" s="179"/>
      <c r="B7" s="167"/>
      <c r="C7" s="167"/>
      <c r="D7" s="167"/>
      <c r="E7" s="167"/>
      <c r="F7" s="180"/>
      <c r="G7" s="81" t="s">
        <v>77</v>
      </c>
      <c r="H7" s="76"/>
      <c r="I7" s="76"/>
      <c r="J7" s="83"/>
      <c r="K7" s="176"/>
      <c r="L7" s="178"/>
      <c r="M7" s="178"/>
      <c r="N7" s="178"/>
      <c r="O7" s="178"/>
      <c r="P7" s="178"/>
      <c r="Q7" s="178"/>
      <c r="R7" s="177"/>
    </row>
    <row r="8" spans="1:18">
      <c r="A8" s="84"/>
      <c r="B8" s="85"/>
      <c r="C8" s="85"/>
      <c r="D8" s="85"/>
      <c r="E8" s="85"/>
      <c r="F8" s="58"/>
      <c r="G8" s="86" t="s">
        <v>78</v>
      </c>
      <c r="H8" s="79"/>
      <c r="I8" s="79"/>
      <c r="J8" s="87"/>
      <c r="K8" s="164" t="s">
        <v>79</v>
      </c>
      <c r="L8" s="170"/>
      <c r="M8" s="170"/>
      <c r="N8" s="170"/>
      <c r="O8" s="170"/>
      <c r="P8" s="170"/>
      <c r="Q8" s="170"/>
      <c r="R8" s="171"/>
    </row>
    <row r="9" spans="1:18">
      <c r="A9" s="128"/>
      <c r="B9" s="178"/>
      <c r="C9" s="178"/>
      <c r="D9" s="178"/>
      <c r="E9" s="178"/>
      <c r="F9" s="178"/>
      <c r="G9" s="178"/>
      <c r="H9" s="178"/>
      <c r="I9" s="178"/>
      <c r="J9" s="178"/>
      <c r="K9" s="76"/>
      <c r="L9" s="76"/>
      <c r="M9" s="76"/>
      <c r="N9" s="76"/>
      <c r="O9" s="76"/>
      <c r="P9" s="76"/>
      <c r="Q9" s="76"/>
      <c r="R9" s="76"/>
    </row>
    <row r="10" spans="1:18">
      <c r="A10" s="181" t="s">
        <v>80</v>
      </c>
      <c r="B10" s="173"/>
      <c r="C10" s="173"/>
      <c r="D10" s="89" t="s">
        <v>81</v>
      </c>
      <c r="E10" s="181" t="s">
        <v>82</v>
      </c>
      <c r="F10" s="173"/>
      <c r="G10" s="173"/>
      <c r="H10" s="172"/>
      <c r="I10" s="90"/>
      <c r="J10" s="181" t="s">
        <v>83</v>
      </c>
      <c r="K10" s="173"/>
      <c r="L10" s="173"/>
      <c r="M10" s="90"/>
      <c r="N10" s="140" t="s">
        <v>84</v>
      </c>
      <c r="O10" s="170"/>
      <c r="P10" s="170"/>
      <c r="Q10" s="170"/>
      <c r="R10" s="171"/>
    </row>
    <row r="11" spans="1:18">
      <c r="A11" s="165" t="s">
        <v>85</v>
      </c>
      <c r="B11" s="178"/>
      <c r="C11" s="178"/>
      <c r="D11" s="91">
        <v>3102</v>
      </c>
      <c r="E11" s="165"/>
      <c r="F11" s="178"/>
      <c r="G11" s="178"/>
      <c r="H11" s="177"/>
      <c r="I11" s="79"/>
      <c r="J11" s="165" t="s">
        <v>86</v>
      </c>
      <c r="K11" s="178"/>
      <c r="L11" s="178"/>
      <c r="M11" s="79"/>
      <c r="N11" s="126" t="s">
        <v>87</v>
      </c>
      <c r="O11" s="170"/>
      <c r="P11" s="170"/>
      <c r="Q11" s="170"/>
      <c r="R11" s="171"/>
    </row>
    <row r="12" spans="1:18">
      <c r="A12" s="135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76"/>
    </row>
    <row r="13" spans="1:18">
      <c r="A13" s="130" t="s">
        <v>88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1"/>
    </row>
    <row r="14" spans="1:18">
      <c r="A14" s="155" t="s">
        <v>89</v>
      </c>
      <c r="B14" s="168"/>
      <c r="C14" s="168"/>
      <c r="D14" s="168"/>
      <c r="E14" s="168"/>
      <c r="F14" s="168"/>
      <c r="G14" s="168"/>
      <c r="H14" s="180"/>
      <c r="I14" s="59"/>
      <c r="J14" s="140" t="s">
        <v>90</v>
      </c>
      <c r="K14" s="170"/>
      <c r="L14" s="170"/>
      <c r="M14" s="170"/>
      <c r="N14" s="170"/>
      <c r="O14" s="170"/>
      <c r="P14" s="170"/>
      <c r="Q14" s="170"/>
      <c r="R14" s="171"/>
    </row>
    <row r="15" spans="1:18">
      <c r="A15" s="166" t="s">
        <v>91</v>
      </c>
      <c r="B15" s="178"/>
      <c r="C15" s="178"/>
      <c r="D15" s="178"/>
      <c r="E15" s="178"/>
      <c r="F15" s="178"/>
      <c r="G15" s="178"/>
      <c r="H15" s="177"/>
      <c r="I15" s="92"/>
      <c r="J15" s="147" t="s">
        <v>92</v>
      </c>
      <c r="K15" s="170"/>
      <c r="L15" s="170"/>
      <c r="M15" s="170"/>
      <c r="N15" s="170"/>
      <c r="O15" s="170"/>
      <c r="P15" s="170"/>
      <c r="Q15" s="170"/>
      <c r="R15" s="171"/>
    </row>
    <row r="16" spans="1:18">
      <c r="A16" s="154" t="s">
        <v>93</v>
      </c>
      <c r="B16" s="173"/>
      <c r="C16" s="173"/>
      <c r="D16" s="173"/>
      <c r="E16" s="173"/>
      <c r="F16" s="173"/>
      <c r="G16" s="172"/>
      <c r="H16" s="154" t="s">
        <v>94</v>
      </c>
      <c r="I16" s="173"/>
      <c r="J16" s="173"/>
      <c r="K16" s="173"/>
      <c r="L16" s="154" t="s">
        <v>95</v>
      </c>
      <c r="M16" s="173"/>
      <c r="N16" s="173"/>
      <c r="O16" s="173"/>
      <c r="P16" s="173"/>
      <c r="Q16" s="173"/>
      <c r="R16" s="173"/>
    </row>
    <row r="17" spans="1:18">
      <c r="A17" s="147" t="s">
        <v>96</v>
      </c>
      <c r="B17" s="170"/>
      <c r="C17" s="170"/>
      <c r="D17" s="170"/>
      <c r="E17" s="170"/>
      <c r="F17" s="170"/>
      <c r="G17" s="171"/>
      <c r="H17" s="147" t="s">
        <v>97</v>
      </c>
      <c r="I17" s="170"/>
      <c r="J17" s="170"/>
      <c r="K17" s="171"/>
      <c r="L17" s="153" t="s">
        <v>98</v>
      </c>
      <c r="M17" s="167"/>
      <c r="N17" s="167"/>
      <c r="O17" s="167"/>
      <c r="P17" s="167"/>
      <c r="Q17" s="167"/>
      <c r="R17" s="167"/>
    </row>
    <row r="18" spans="1:18">
      <c r="A18" s="140" t="s">
        <v>99</v>
      </c>
      <c r="B18" s="170"/>
      <c r="C18" s="170"/>
      <c r="D18" s="170"/>
      <c r="E18" s="171"/>
      <c r="F18" s="140" t="s">
        <v>100</v>
      </c>
      <c r="G18" s="170"/>
      <c r="H18" s="171"/>
      <c r="I18" s="60"/>
      <c r="J18" s="140" t="s">
        <v>101</v>
      </c>
      <c r="K18" s="171"/>
      <c r="L18" s="155" t="s">
        <v>83</v>
      </c>
      <c r="M18" s="168"/>
      <c r="N18" s="168"/>
      <c r="O18" s="168"/>
      <c r="P18" s="168"/>
      <c r="Q18" s="168"/>
      <c r="R18" s="168"/>
    </row>
    <row r="19" spans="1:18">
      <c r="A19" s="147" t="s">
        <v>102</v>
      </c>
      <c r="B19" s="170"/>
      <c r="C19" s="170"/>
      <c r="D19" s="170"/>
      <c r="E19" s="171"/>
      <c r="F19" s="147" t="s">
        <v>103</v>
      </c>
      <c r="G19" s="170"/>
      <c r="H19" s="171"/>
      <c r="I19" s="93"/>
      <c r="J19" s="147" t="s">
        <v>104</v>
      </c>
      <c r="K19" s="171"/>
      <c r="L19" s="153" t="s">
        <v>105</v>
      </c>
      <c r="M19" s="167"/>
      <c r="N19" s="167"/>
      <c r="O19" s="167"/>
      <c r="P19" s="167"/>
      <c r="Q19" s="167"/>
      <c r="R19" s="167"/>
    </row>
    <row r="20" spans="1:18">
      <c r="A20" s="148"/>
      <c r="B20" s="167"/>
      <c r="C20" s="167"/>
      <c r="D20" s="167"/>
      <c r="E20" s="167"/>
      <c r="F20" s="148"/>
      <c r="G20" s="167"/>
      <c r="H20" s="167"/>
      <c r="I20" s="94"/>
      <c r="J20" s="148"/>
      <c r="K20" s="167"/>
      <c r="L20" s="148"/>
      <c r="M20" s="167"/>
      <c r="N20" s="167"/>
      <c r="O20" s="167"/>
      <c r="P20" s="167"/>
      <c r="Q20" s="167"/>
      <c r="R20" s="2"/>
    </row>
    <row r="21" spans="1:18" ht="15.75" customHeight="1">
      <c r="A21" s="149" t="s">
        <v>106</v>
      </c>
      <c r="B21" s="171"/>
      <c r="C21" s="149" t="s">
        <v>107</v>
      </c>
      <c r="D21" s="170"/>
      <c r="E21" s="171"/>
      <c r="F21" s="149" t="s">
        <v>108</v>
      </c>
      <c r="G21" s="171"/>
      <c r="H21" s="149" t="s">
        <v>109</v>
      </c>
      <c r="I21" s="170"/>
      <c r="J21" s="171"/>
      <c r="K21" s="149" t="s">
        <v>110</v>
      </c>
      <c r="L21" s="170"/>
      <c r="M21" s="170"/>
      <c r="N21" s="171"/>
      <c r="O21" s="149" t="s">
        <v>111</v>
      </c>
      <c r="P21" s="170"/>
      <c r="Q21" s="170"/>
      <c r="R21" s="171"/>
    </row>
    <row r="22" spans="1:18" ht="15.75" customHeight="1">
      <c r="A22" s="150">
        <v>0</v>
      </c>
      <c r="B22" s="171"/>
      <c r="C22" s="138">
        <f>+A22*Q38/100</f>
        <v>0</v>
      </c>
      <c r="D22" s="170"/>
      <c r="E22" s="171"/>
      <c r="F22" s="151"/>
      <c r="G22" s="171"/>
      <c r="H22" s="150"/>
      <c r="I22" s="170"/>
      <c r="J22" s="171"/>
      <c r="K22" s="138">
        <f>(H22*R38%)-C22</f>
        <v>0</v>
      </c>
      <c r="L22" s="170"/>
      <c r="M22" s="170"/>
      <c r="N22" s="171"/>
      <c r="O22" s="152">
        <f>SUM(M38:M48)</f>
        <v>1267175.12931932</v>
      </c>
      <c r="P22" s="170"/>
      <c r="Q22" s="170"/>
      <c r="R22" s="171"/>
    </row>
    <row r="23" spans="1:18" ht="15.75" customHeight="1">
      <c r="A23" s="149" t="s">
        <v>112</v>
      </c>
      <c r="B23" s="171"/>
      <c r="C23" s="149" t="s">
        <v>113</v>
      </c>
      <c r="D23" s="170"/>
      <c r="E23" s="171"/>
      <c r="F23" s="149" t="s">
        <v>114</v>
      </c>
      <c r="G23" s="170"/>
      <c r="H23" s="170"/>
      <c r="I23" s="170"/>
      <c r="J23" s="171"/>
      <c r="K23" s="149" t="s">
        <v>115</v>
      </c>
      <c r="L23" s="170"/>
      <c r="M23" s="170"/>
      <c r="N23" s="171"/>
      <c r="O23" s="149" t="s">
        <v>116</v>
      </c>
      <c r="P23" s="170"/>
      <c r="Q23" s="170"/>
      <c r="R23" s="171"/>
    </row>
    <row r="24" spans="1:18" ht="15.75" customHeight="1">
      <c r="A24" s="137"/>
      <c r="B24" s="171"/>
      <c r="C24" s="137"/>
      <c r="D24" s="170"/>
      <c r="E24" s="171"/>
      <c r="F24" s="137">
        <f>RATEIOS!AE25+RATEIOS!AA12+RATEIOS!AB12+RATEIOS!AA23+RATEIOS!AB23</f>
        <v>154393.07769502013</v>
      </c>
      <c r="G24" s="170"/>
      <c r="H24" s="170"/>
      <c r="I24" s="170"/>
      <c r="J24" s="171"/>
      <c r="K24" s="138">
        <f>SUM(P38:P48)</f>
        <v>25343.502586386399</v>
      </c>
      <c r="L24" s="170"/>
      <c r="M24" s="170"/>
      <c r="N24" s="171"/>
      <c r="O24" s="139">
        <f>SUM(O22+K24+K22+F24)</f>
        <v>1446911.7096007266</v>
      </c>
      <c r="P24" s="170"/>
      <c r="Q24" s="170"/>
      <c r="R24" s="171"/>
    </row>
    <row r="25" spans="1:18" ht="15.75" customHeight="1">
      <c r="A25" s="95"/>
      <c r="B25" s="95"/>
      <c r="C25" s="95"/>
      <c r="D25" s="95"/>
      <c r="E25" s="95"/>
      <c r="F25" s="95"/>
      <c r="G25" s="95"/>
      <c r="H25" s="95"/>
      <c r="I25" s="95"/>
      <c r="J25" s="96"/>
      <c r="K25" s="97"/>
      <c r="L25" s="97"/>
      <c r="M25" s="97"/>
      <c r="N25" s="97"/>
      <c r="O25" s="97"/>
      <c r="P25" s="97"/>
      <c r="Q25" s="61"/>
      <c r="R25" s="61"/>
    </row>
    <row r="26" spans="1:18" ht="15.75" customHeight="1">
      <c r="A26" s="130" t="s">
        <v>117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1"/>
    </row>
    <row r="27" spans="1:18" ht="15.75" customHeight="1">
      <c r="A27" s="140" t="s">
        <v>89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1"/>
      <c r="L27" s="62" t="s">
        <v>118</v>
      </c>
      <c r="M27" s="63"/>
      <c r="N27" s="63"/>
      <c r="O27" s="141" t="s">
        <v>119</v>
      </c>
      <c r="P27" s="168"/>
      <c r="Q27" s="180"/>
      <c r="R27" s="64" t="s">
        <v>101</v>
      </c>
    </row>
    <row r="28" spans="1:18" ht="15" customHeight="1">
      <c r="A28" s="142" t="s">
        <v>120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2"/>
      <c r="L28" s="98" t="s">
        <v>121</v>
      </c>
      <c r="M28" s="99"/>
      <c r="N28" s="100" t="s">
        <v>122</v>
      </c>
      <c r="O28" s="143" t="s">
        <v>123</v>
      </c>
      <c r="P28" s="167"/>
      <c r="Q28" s="180"/>
      <c r="R28" s="144" t="s">
        <v>124</v>
      </c>
    </row>
    <row r="29" spans="1:18" ht="15.75" customHeight="1">
      <c r="A29" s="176"/>
      <c r="B29" s="178"/>
      <c r="C29" s="178"/>
      <c r="D29" s="178"/>
      <c r="E29" s="178"/>
      <c r="F29" s="178"/>
      <c r="G29" s="178"/>
      <c r="H29" s="178"/>
      <c r="I29" s="178"/>
      <c r="J29" s="178"/>
      <c r="K29" s="177"/>
      <c r="L29" s="102" t="s">
        <v>125</v>
      </c>
      <c r="M29" s="103"/>
      <c r="N29" s="100"/>
      <c r="O29" s="178"/>
      <c r="P29" s="178"/>
      <c r="Q29" s="177"/>
      <c r="R29" s="175"/>
    </row>
    <row r="30" spans="1:18" ht="15.75" customHeight="1">
      <c r="A30" s="141" t="s">
        <v>93</v>
      </c>
      <c r="B30" s="168"/>
      <c r="C30" s="168"/>
      <c r="D30" s="168"/>
      <c r="E30" s="127" t="s">
        <v>126</v>
      </c>
      <c r="F30" s="173"/>
      <c r="G30" s="173"/>
      <c r="H30" s="173"/>
      <c r="I30" s="173"/>
      <c r="J30" s="172"/>
      <c r="K30" s="65" t="s">
        <v>101</v>
      </c>
      <c r="L30" s="127" t="s">
        <v>127</v>
      </c>
      <c r="M30" s="173"/>
      <c r="N30" s="172"/>
      <c r="O30" s="66"/>
      <c r="P30" s="66"/>
      <c r="Q30" s="61"/>
      <c r="R30" s="61"/>
    </row>
    <row r="31" spans="1:18" ht="15.75" customHeight="1">
      <c r="A31" s="145" t="s">
        <v>128</v>
      </c>
      <c r="B31" s="178"/>
      <c r="C31" s="178"/>
      <c r="D31" s="178"/>
      <c r="E31" s="146" t="s">
        <v>129</v>
      </c>
      <c r="F31" s="178"/>
      <c r="G31" s="178"/>
      <c r="H31" s="178"/>
      <c r="I31" s="178"/>
      <c r="J31" s="177"/>
      <c r="K31" s="88" t="s">
        <v>124</v>
      </c>
      <c r="L31" s="128">
        <v>999999999</v>
      </c>
      <c r="M31" s="178"/>
      <c r="N31" s="177"/>
      <c r="O31" s="105"/>
      <c r="P31" s="105"/>
      <c r="Q31" s="61"/>
      <c r="R31" s="61"/>
    </row>
    <row r="32" spans="1:18" ht="15.75" customHeight="1">
      <c r="A32" s="104" t="s">
        <v>130</v>
      </c>
      <c r="B32" s="104" t="s">
        <v>131</v>
      </c>
      <c r="C32" s="127" t="s">
        <v>132</v>
      </c>
      <c r="D32" s="173"/>
      <c r="E32" s="127" t="s">
        <v>133</v>
      </c>
      <c r="F32" s="173"/>
      <c r="G32" s="127" t="s">
        <v>134</v>
      </c>
      <c r="H32" s="173"/>
      <c r="I32" s="172"/>
      <c r="J32" s="127" t="s">
        <v>135</v>
      </c>
      <c r="K32" s="172"/>
      <c r="L32" s="127" t="s">
        <v>136</v>
      </c>
      <c r="M32" s="173"/>
      <c r="N32" s="172"/>
      <c r="O32" s="66"/>
      <c r="P32" s="66"/>
      <c r="Q32" s="61"/>
      <c r="R32" s="61"/>
    </row>
    <row r="33" spans="1:19" ht="15.75" customHeight="1">
      <c r="A33" s="88">
        <v>118</v>
      </c>
      <c r="B33" s="88" t="s">
        <v>137</v>
      </c>
      <c r="C33" s="128" t="s">
        <v>123</v>
      </c>
      <c r="D33" s="178"/>
      <c r="E33" s="128"/>
      <c r="F33" s="178"/>
      <c r="G33" s="128">
        <v>1527</v>
      </c>
      <c r="H33" s="178"/>
      <c r="I33" s="106"/>
      <c r="J33" s="129">
        <f>RATEIOS!G25</f>
        <v>1432.18</v>
      </c>
      <c r="K33" s="177"/>
      <c r="L33" s="128" t="s">
        <v>92</v>
      </c>
      <c r="M33" s="178"/>
      <c r="N33" s="177"/>
      <c r="O33" s="101"/>
      <c r="P33" s="101"/>
      <c r="Q33" s="61"/>
      <c r="R33" s="61"/>
    </row>
    <row r="34" spans="1:19" ht="15.75" customHeight="1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1:19" ht="15.75" customHeight="1">
      <c r="A35" s="130" t="s">
        <v>138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1"/>
    </row>
    <row r="36" spans="1:19" ht="15.75" customHeight="1">
      <c r="A36" s="124" t="s">
        <v>139</v>
      </c>
      <c r="B36" s="125" t="s">
        <v>140</v>
      </c>
      <c r="C36" s="173"/>
      <c r="D36" s="173"/>
      <c r="E36" s="173"/>
      <c r="F36" s="124" t="s">
        <v>141</v>
      </c>
      <c r="G36" s="132" t="s">
        <v>142</v>
      </c>
      <c r="H36" s="173"/>
      <c r="I36" s="124" t="s">
        <v>143</v>
      </c>
      <c r="J36" s="124" t="s">
        <v>144</v>
      </c>
      <c r="K36" s="125" t="s">
        <v>145</v>
      </c>
      <c r="L36" s="124" t="s">
        <v>146</v>
      </c>
      <c r="M36" s="124" t="s">
        <v>147</v>
      </c>
      <c r="N36" s="124" t="s">
        <v>148</v>
      </c>
      <c r="O36" s="124" t="s">
        <v>149</v>
      </c>
      <c r="P36" s="124" t="s">
        <v>150</v>
      </c>
      <c r="Q36" s="131" t="s">
        <v>151</v>
      </c>
      <c r="R36" s="171"/>
      <c r="S36" s="67"/>
    </row>
    <row r="37" spans="1:19" ht="15.75" customHeight="1">
      <c r="A37" s="175"/>
      <c r="B37" s="176"/>
      <c r="C37" s="178"/>
      <c r="D37" s="178"/>
      <c r="E37" s="178"/>
      <c r="F37" s="175"/>
      <c r="G37" s="178"/>
      <c r="H37" s="178"/>
      <c r="I37" s="175"/>
      <c r="J37" s="175"/>
      <c r="K37" s="176"/>
      <c r="L37" s="175"/>
      <c r="M37" s="175"/>
      <c r="N37" s="175"/>
      <c r="O37" s="175"/>
      <c r="P37" s="175"/>
      <c r="Q37" s="68" t="s">
        <v>152</v>
      </c>
      <c r="R37" s="68" t="s">
        <v>14</v>
      </c>
      <c r="S37" s="67"/>
    </row>
    <row r="38" spans="1:19" ht="15.75" customHeight="1">
      <c r="A38" s="100">
        <v>1</v>
      </c>
      <c r="B38" s="126" t="s">
        <v>153</v>
      </c>
      <c r="C38" s="170"/>
      <c r="D38" s="170"/>
      <c r="E38" s="171"/>
      <c r="F38" s="100">
        <v>84733043</v>
      </c>
      <c r="G38" s="123">
        <v>151</v>
      </c>
      <c r="H38" s="170"/>
      <c r="I38" s="109">
        <v>3102</v>
      </c>
      <c r="J38" s="100" t="s">
        <v>154</v>
      </c>
      <c r="K38" s="108">
        <f>RATEIOS!C6</f>
        <v>200</v>
      </c>
      <c r="L38" s="69">
        <f>RATEIOS!AG6</f>
        <v>843.03848032298424</v>
      </c>
      <c r="M38" s="70">
        <f t="shared" ref="M38:M48" si="0">L38*K38</f>
        <v>168607.69606459685</v>
      </c>
      <c r="N38" s="70">
        <v>0</v>
      </c>
      <c r="O38" s="70">
        <v>0</v>
      </c>
      <c r="P38" s="70">
        <f>RATEIOS!AD6</f>
        <v>3372.153921291937</v>
      </c>
      <c r="Q38" s="70">
        <v>0</v>
      </c>
      <c r="R38" s="71">
        <v>0.02</v>
      </c>
    </row>
    <row r="39" spans="1:19" ht="15.75" customHeight="1">
      <c r="A39" s="100">
        <v>2</v>
      </c>
      <c r="B39" s="126" t="s">
        <v>153</v>
      </c>
      <c r="C39" s="170"/>
      <c r="D39" s="170"/>
      <c r="E39" s="171"/>
      <c r="F39" s="100">
        <v>84733043</v>
      </c>
      <c r="G39" s="123">
        <f t="shared" ref="G39:G48" si="1">G38</f>
        <v>151</v>
      </c>
      <c r="H39" s="170"/>
      <c r="I39" s="109">
        <v>3102</v>
      </c>
      <c r="J39" s="100" t="s">
        <v>154</v>
      </c>
      <c r="K39" s="108">
        <f>RATEIOS!C7</f>
        <v>60</v>
      </c>
      <c r="L39" s="69">
        <f>RATEIOS!AG7</f>
        <v>896.63529590954249</v>
      </c>
      <c r="M39" s="70">
        <f t="shared" si="0"/>
        <v>53798.117754572551</v>
      </c>
      <c r="N39" s="70">
        <v>0</v>
      </c>
      <c r="O39" s="70">
        <v>0</v>
      </c>
      <c r="P39" s="70">
        <f>RATEIOS!AD7</f>
        <v>1075.9623550914509</v>
      </c>
      <c r="Q39" s="70">
        <v>0</v>
      </c>
      <c r="R39" s="71">
        <v>0.02</v>
      </c>
    </row>
    <row r="40" spans="1:19" ht="15.75" customHeight="1">
      <c r="A40" s="100">
        <v>3</v>
      </c>
      <c r="B40" s="126" t="s">
        <v>153</v>
      </c>
      <c r="C40" s="170"/>
      <c r="D40" s="170"/>
      <c r="E40" s="171"/>
      <c r="F40" s="100">
        <v>84733043</v>
      </c>
      <c r="G40" s="123">
        <f t="shared" si="1"/>
        <v>151</v>
      </c>
      <c r="H40" s="170"/>
      <c r="I40" s="109">
        <v>3102</v>
      </c>
      <c r="J40" s="100" t="s">
        <v>154</v>
      </c>
      <c r="K40" s="108">
        <f>RATEIOS!C8</f>
        <v>60</v>
      </c>
      <c r="L40" s="69">
        <f>RATEIOS!AG8</f>
        <v>1084.224150462496</v>
      </c>
      <c r="M40" s="70">
        <f t="shared" si="0"/>
        <v>65053.449027749761</v>
      </c>
      <c r="N40" s="70">
        <v>0</v>
      </c>
      <c r="O40" s="70">
        <v>0</v>
      </c>
      <c r="P40" s="70">
        <f>RATEIOS!AD8</f>
        <v>1301.0689805549953</v>
      </c>
      <c r="Q40" s="70">
        <v>0</v>
      </c>
      <c r="R40" s="71">
        <v>0.02</v>
      </c>
    </row>
    <row r="41" spans="1:19" ht="15.75" customHeight="1">
      <c r="A41" s="100">
        <v>4</v>
      </c>
      <c r="B41" s="126" t="s">
        <v>153</v>
      </c>
      <c r="C41" s="170"/>
      <c r="D41" s="170"/>
      <c r="E41" s="171"/>
      <c r="F41" s="100">
        <v>84733043</v>
      </c>
      <c r="G41" s="123">
        <f t="shared" si="1"/>
        <v>151</v>
      </c>
      <c r="H41" s="170"/>
      <c r="I41" s="109">
        <v>3102</v>
      </c>
      <c r="J41" s="100" t="s">
        <v>154</v>
      </c>
      <c r="K41" s="108">
        <f>RATEIOS!C9</f>
        <v>30</v>
      </c>
      <c r="L41" s="69">
        <f>RATEIOS!AG9</f>
        <v>1941.7731998474267</v>
      </c>
      <c r="M41" s="70">
        <f t="shared" si="0"/>
        <v>58253.1959954228</v>
      </c>
      <c r="N41" s="70">
        <v>0</v>
      </c>
      <c r="O41" s="70">
        <v>0</v>
      </c>
      <c r="P41" s="70">
        <f>RATEIOS!AD9</f>
        <v>1165.063919908456</v>
      </c>
      <c r="Q41" s="70">
        <v>0</v>
      </c>
      <c r="R41" s="71">
        <v>0.02</v>
      </c>
    </row>
    <row r="42" spans="1:19" ht="15.75" customHeight="1">
      <c r="A42" s="100">
        <v>5</v>
      </c>
      <c r="B42" s="126" t="s">
        <v>153</v>
      </c>
      <c r="C42" s="170"/>
      <c r="D42" s="170"/>
      <c r="E42" s="171"/>
      <c r="F42" s="100">
        <v>84733043</v>
      </c>
      <c r="G42" s="123">
        <f t="shared" si="1"/>
        <v>151</v>
      </c>
      <c r="H42" s="170"/>
      <c r="I42" s="109">
        <v>3102</v>
      </c>
      <c r="J42" s="100" t="s">
        <v>154</v>
      </c>
      <c r="K42" s="108">
        <f>RATEIOS!C10</f>
        <v>10</v>
      </c>
      <c r="L42" s="69">
        <f>RATEIOS!AG10</f>
        <v>2525.9784897409108</v>
      </c>
      <c r="M42" s="70">
        <f t="shared" si="0"/>
        <v>25259.78489740911</v>
      </c>
      <c r="N42" s="70">
        <v>0</v>
      </c>
      <c r="O42" s="70">
        <v>0</v>
      </c>
      <c r="P42" s="70">
        <f>RATEIOS!AD10</f>
        <v>505.19569794818216</v>
      </c>
      <c r="Q42" s="70">
        <v>0</v>
      </c>
      <c r="R42" s="71">
        <v>0.02</v>
      </c>
    </row>
    <row r="43" spans="1:19" ht="15.75" customHeight="1">
      <c r="A43" s="100">
        <v>6</v>
      </c>
      <c r="B43" s="126" t="s">
        <v>153</v>
      </c>
      <c r="C43" s="170"/>
      <c r="D43" s="170"/>
      <c r="E43" s="171"/>
      <c r="F43" s="100">
        <v>84733043</v>
      </c>
      <c r="G43" s="123">
        <f t="shared" si="1"/>
        <v>151</v>
      </c>
      <c r="H43" s="170"/>
      <c r="I43" s="109">
        <v>3102</v>
      </c>
      <c r="J43" s="100" t="s">
        <v>154</v>
      </c>
      <c r="K43" s="108">
        <f>RATEIOS!C11</f>
        <v>30</v>
      </c>
      <c r="L43" s="69">
        <f>RATEIOS!AG11</f>
        <v>2525.9784897409108</v>
      </c>
      <c r="M43" s="70">
        <f t="shared" si="0"/>
        <v>75779.354692227324</v>
      </c>
      <c r="N43" s="70">
        <v>0</v>
      </c>
      <c r="O43" s="70">
        <v>0</v>
      </c>
      <c r="P43" s="70">
        <f>RATEIOS!AD11</f>
        <v>1515.5870938445464</v>
      </c>
      <c r="Q43" s="70">
        <v>0</v>
      </c>
      <c r="R43" s="71">
        <v>0.02</v>
      </c>
    </row>
    <row r="44" spans="1:19" ht="15.75" customHeight="1">
      <c r="A44" s="100">
        <v>7</v>
      </c>
      <c r="B44" s="126" t="s">
        <v>153</v>
      </c>
      <c r="C44" s="170"/>
      <c r="D44" s="170"/>
      <c r="E44" s="171"/>
      <c r="F44" s="100">
        <v>84733043</v>
      </c>
      <c r="G44" s="123">
        <f t="shared" si="1"/>
        <v>151</v>
      </c>
      <c r="H44" s="170"/>
      <c r="I44" s="109">
        <v>3102</v>
      </c>
      <c r="J44" s="100" t="s">
        <v>154</v>
      </c>
      <c r="K44" s="108">
        <f>RATEIOS!C18</f>
        <v>30</v>
      </c>
      <c r="L44" s="69">
        <f>RATEIOS!AG18</f>
        <v>1885.6708349379662</v>
      </c>
      <c r="M44" s="70">
        <f t="shared" si="0"/>
        <v>56570.125048138987</v>
      </c>
      <c r="N44" s="70">
        <v>0</v>
      </c>
      <c r="O44" s="70">
        <v>0</v>
      </c>
      <c r="P44" s="70">
        <f>RATEIOS!AD18</f>
        <v>1131.4025009627799</v>
      </c>
      <c r="Q44" s="70">
        <v>0</v>
      </c>
      <c r="R44" s="71">
        <v>0.02</v>
      </c>
    </row>
    <row r="45" spans="1:19" ht="15.75" customHeight="1">
      <c r="A45" s="100">
        <v>8</v>
      </c>
      <c r="B45" s="126" t="s">
        <v>153</v>
      </c>
      <c r="C45" s="170"/>
      <c r="D45" s="170"/>
      <c r="E45" s="171"/>
      <c r="F45" s="100">
        <v>84733043</v>
      </c>
      <c r="G45" s="123">
        <f t="shared" si="1"/>
        <v>151</v>
      </c>
      <c r="H45" s="170"/>
      <c r="I45" s="109">
        <v>3102</v>
      </c>
      <c r="J45" s="100" t="s">
        <v>154</v>
      </c>
      <c r="K45" s="108">
        <f>RATEIOS!C19</f>
        <v>120</v>
      </c>
      <c r="L45" s="69">
        <f>RATEIOS!AG19</f>
        <v>1452.60600219667</v>
      </c>
      <c r="M45" s="70">
        <f t="shared" si="0"/>
        <v>174312.72026360041</v>
      </c>
      <c r="N45" s="70">
        <v>0</v>
      </c>
      <c r="O45" s="70">
        <v>0</v>
      </c>
      <c r="P45" s="70">
        <f>RATEIOS!AD19</f>
        <v>3486.2544052720082</v>
      </c>
      <c r="Q45" s="70">
        <v>0</v>
      </c>
      <c r="R45" s="71">
        <v>0.02</v>
      </c>
    </row>
    <row r="46" spans="1:19" ht="15.75" customHeight="1">
      <c r="A46" s="100">
        <v>9</v>
      </c>
      <c r="B46" s="126" t="s">
        <v>153</v>
      </c>
      <c r="C46" s="170"/>
      <c r="D46" s="170"/>
      <c r="E46" s="171"/>
      <c r="F46" s="100">
        <v>84733043</v>
      </c>
      <c r="G46" s="123">
        <f t="shared" si="1"/>
        <v>151</v>
      </c>
      <c r="H46" s="170"/>
      <c r="I46" s="109">
        <v>3102</v>
      </c>
      <c r="J46" s="100" t="s">
        <v>154</v>
      </c>
      <c r="K46" s="108">
        <f>RATEIOS!C20</f>
        <v>120</v>
      </c>
      <c r="L46" s="69">
        <f>RATEIOS!AG20</f>
        <v>992.5282145418081</v>
      </c>
      <c r="M46" s="70">
        <f t="shared" si="0"/>
        <v>119103.38574501697</v>
      </c>
      <c r="N46" s="70">
        <v>0</v>
      </c>
      <c r="O46" s="70">
        <v>0</v>
      </c>
      <c r="P46" s="70">
        <f>RATEIOS!AD20</f>
        <v>2382.0677149003395</v>
      </c>
      <c r="Q46" s="70">
        <v>0</v>
      </c>
      <c r="R46" s="71">
        <v>0.02</v>
      </c>
    </row>
    <row r="47" spans="1:19" ht="15.75" customHeight="1">
      <c r="A47" s="100">
        <v>10</v>
      </c>
      <c r="B47" s="126" t="s">
        <v>153</v>
      </c>
      <c r="C47" s="170"/>
      <c r="D47" s="170"/>
      <c r="E47" s="171"/>
      <c r="F47" s="100">
        <v>84733043</v>
      </c>
      <c r="G47" s="123">
        <f t="shared" si="1"/>
        <v>151</v>
      </c>
      <c r="H47" s="170"/>
      <c r="I47" s="109">
        <v>3102</v>
      </c>
      <c r="J47" s="100" t="s">
        <v>154</v>
      </c>
      <c r="K47" s="108">
        <f>RATEIOS!C21</f>
        <v>300</v>
      </c>
      <c r="L47" s="69">
        <f>RATEIOS!AG21</f>
        <v>830.07530513105701</v>
      </c>
      <c r="M47" s="70">
        <f t="shared" si="0"/>
        <v>249022.5915393171</v>
      </c>
      <c r="N47" s="70">
        <v>0</v>
      </c>
      <c r="O47" s="70">
        <v>0</v>
      </c>
      <c r="P47" s="70">
        <f>RATEIOS!AD21</f>
        <v>4980.4518307863418</v>
      </c>
      <c r="Q47" s="70">
        <v>0</v>
      </c>
      <c r="R47" s="71">
        <v>0.02</v>
      </c>
    </row>
    <row r="48" spans="1:19" ht="15.75" customHeight="1">
      <c r="A48" s="100">
        <v>11</v>
      </c>
      <c r="B48" s="126" t="s">
        <v>153</v>
      </c>
      <c r="C48" s="170"/>
      <c r="D48" s="170"/>
      <c r="E48" s="171"/>
      <c r="F48" s="100">
        <v>84733043</v>
      </c>
      <c r="G48" s="123">
        <f t="shared" si="1"/>
        <v>151</v>
      </c>
      <c r="H48" s="170"/>
      <c r="I48" s="109">
        <v>3102</v>
      </c>
      <c r="J48" s="100" t="s">
        <v>154</v>
      </c>
      <c r="K48" s="108">
        <f>RATEIOS!C22</f>
        <v>300</v>
      </c>
      <c r="L48" s="69">
        <f>RATEIOS!AG22</f>
        <v>738.04902763756024</v>
      </c>
      <c r="M48" s="70">
        <f t="shared" si="0"/>
        <v>221414.70829126806</v>
      </c>
      <c r="N48" s="70">
        <v>0</v>
      </c>
      <c r="O48" s="70">
        <v>0</v>
      </c>
      <c r="P48" s="70">
        <f>RATEIOS!AD22</f>
        <v>4428.2941658253612</v>
      </c>
      <c r="Q48" s="70">
        <v>0</v>
      </c>
      <c r="R48" s="71">
        <v>0.02</v>
      </c>
    </row>
    <row r="49" spans="1:18" ht="15.75" customHeight="1">
      <c r="A49" s="135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01"/>
      <c r="P49" s="101"/>
      <c r="Q49" s="76"/>
      <c r="R49" s="76"/>
    </row>
    <row r="50" spans="1:18" ht="15.75" customHeight="1">
      <c r="A50" s="130" t="s">
        <v>155</v>
      </c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1"/>
    </row>
    <row r="51" spans="1:18" ht="15.75" customHeight="1">
      <c r="A51" s="133" t="s">
        <v>156</v>
      </c>
      <c r="B51" s="173"/>
      <c r="C51" s="173"/>
      <c r="D51" s="173"/>
      <c r="E51" s="110"/>
      <c r="F51" s="133" t="s">
        <v>157</v>
      </c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2"/>
    </row>
    <row r="52" spans="1:18" ht="91.5" customHeight="1">
      <c r="A52" s="134" t="s">
        <v>158</v>
      </c>
      <c r="B52" s="167"/>
      <c r="C52" s="167"/>
      <c r="D52" s="167"/>
      <c r="E52" s="180"/>
      <c r="F52" s="136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80"/>
    </row>
    <row r="53" spans="1:18" ht="39.75" customHeight="1">
      <c r="A53" s="176"/>
      <c r="B53" s="178"/>
      <c r="C53" s="178"/>
      <c r="D53" s="178"/>
      <c r="E53" s="177"/>
      <c r="F53" s="176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7"/>
    </row>
  </sheetData>
  <mergeCells count="130">
    <mergeCell ref="O21:R21"/>
    <mergeCell ref="J4:J5"/>
    <mergeCell ref="K5:R7"/>
    <mergeCell ref="K8:R8"/>
    <mergeCell ref="N10:R10"/>
    <mergeCell ref="N11:R11"/>
    <mergeCell ref="A10:C10"/>
    <mergeCell ref="E10:H10"/>
    <mergeCell ref="J10:L10"/>
    <mergeCell ref="A11:C11"/>
    <mergeCell ref="J11:L11"/>
    <mergeCell ref="E11:H11"/>
    <mergeCell ref="A12:Q12"/>
    <mergeCell ref="A13:R13"/>
    <mergeCell ref="A14:H14"/>
    <mergeCell ref="J14:R14"/>
    <mergeCell ref="A15:H15"/>
    <mergeCell ref="A1:F2"/>
    <mergeCell ref="G1:J1"/>
    <mergeCell ref="G2:J2"/>
    <mergeCell ref="A3:F3"/>
    <mergeCell ref="G3:J3"/>
    <mergeCell ref="A4:F4"/>
    <mergeCell ref="A5:F5"/>
    <mergeCell ref="A6:F7"/>
    <mergeCell ref="A9:J9"/>
    <mergeCell ref="J15:R15"/>
    <mergeCell ref="A16:G16"/>
    <mergeCell ref="H16:K16"/>
    <mergeCell ref="L16:R16"/>
    <mergeCell ref="A17:G17"/>
    <mergeCell ref="H17:K17"/>
    <mergeCell ref="L17:R17"/>
    <mergeCell ref="A18:E18"/>
    <mergeCell ref="L18:R18"/>
    <mergeCell ref="F18:H18"/>
    <mergeCell ref="J18:K18"/>
    <mergeCell ref="J19:K19"/>
    <mergeCell ref="J20:K20"/>
    <mergeCell ref="C23:E23"/>
    <mergeCell ref="F23:J23"/>
    <mergeCell ref="K23:N23"/>
    <mergeCell ref="O23:R23"/>
    <mergeCell ref="A22:B22"/>
    <mergeCell ref="C22:E22"/>
    <mergeCell ref="F22:G22"/>
    <mergeCell ref="H22:J22"/>
    <mergeCell ref="K22:N22"/>
    <mergeCell ref="O22:R22"/>
    <mergeCell ref="A23:B23"/>
    <mergeCell ref="A19:E19"/>
    <mergeCell ref="F19:H19"/>
    <mergeCell ref="L19:R19"/>
    <mergeCell ref="F20:H20"/>
    <mergeCell ref="L20:Q20"/>
    <mergeCell ref="A20:E20"/>
    <mergeCell ref="A21:B21"/>
    <mergeCell ref="C21:E21"/>
    <mergeCell ref="F21:G21"/>
    <mergeCell ref="H21:J21"/>
    <mergeCell ref="K21:N21"/>
    <mergeCell ref="A24:B24"/>
    <mergeCell ref="C24:E24"/>
    <mergeCell ref="F24:J24"/>
    <mergeCell ref="K24:N24"/>
    <mergeCell ref="O24:R24"/>
    <mergeCell ref="B39:E39"/>
    <mergeCell ref="G39:H39"/>
    <mergeCell ref="B40:E40"/>
    <mergeCell ref="G40:H40"/>
    <mergeCell ref="E30:J30"/>
    <mergeCell ref="L30:N30"/>
    <mergeCell ref="A26:R26"/>
    <mergeCell ref="A27:K27"/>
    <mergeCell ref="O27:Q27"/>
    <mergeCell ref="A28:K29"/>
    <mergeCell ref="O28:Q29"/>
    <mergeCell ref="R28:R29"/>
    <mergeCell ref="A30:D30"/>
    <mergeCell ref="A31:D31"/>
    <mergeCell ref="E31:J31"/>
    <mergeCell ref="L31:N31"/>
    <mergeCell ref="E32:F32"/>
    <mergeCell ref="G32:I32"/>
    <mergeCell ref="J32:K32"/>
    <mergeCell ref="B41:E41"/>
    <mergeCell ref="G41:H41"/>
    <mergeCell ref="G42:H42"/>
    <mergeCell ref="G45:H45"/>
    <mergeCell ref="G46:H46"/>
    <mergeCell ref="B42:E42"/>
    <mergeCell ref="B43:E43"/>
    <mergeCell ref="G43:H43"/>
    <mergeCell ref="B44:E44"/>
    <mergeCell ref="G44:H44"/>
    <mergeCell ref="B45:E45"/>
    <mergeCell ref="B46:E46"/>
    <mergeCell ref="A51:D51"/>
    <mergeCell ref="A52:E53"/>
    <mergeCell ref="B47:E47"/>
    <mergeCell ref="G47:H47"/>
    <mergeCell ref="B48:E48"/>
    <mergeCell ref="G48:H48"/>
    <mergeCell ref="A49:N49"/>
    <mergeCell ref="A50:R50"/>
    <mergeCell ref="F51:R51"/>
    <mergeCell ref="F52:R53"/>
    <mergeCell ref="G38:H38"/>
    <mergeCell ref="A36:A37"/>
    <mergeCell ref="B36:E37"/>
    <mergeCell ref="F36:F37"/>
    <mergeCell ref="I36:I37"/>
    <mergeCell ref="J36:J37"/>
    <mergeCell ref="K36:K37"/>
    <mergeCell ref="B38:E38"/>
    <mergeCell ref="L32:N32"/>
    <mergeCell ref="C32:D32"/>
    <mergeCell ref="C33:D33"/>
    <mergeCell ref="E33:F33"/>
    <mergeCell ref="G33:H33"/>
    <mergeCell ref="J33:K33"/>
    <mergeCell ref="L33:N33"/>
    <mergeCell ref="A35:R35"/>
    <mergeCell ref="L36:L37"/>
    <mergeCell ref="M36:M37"/>
    <mergeCell ref="N36:N37"/>
    <mergeCell ref="O36:O37"/>
    <mergeCell ref="P36:P37"/>
    <mergeCell ref="Q36:R36"/>
    <mergeCell ref="G36:H37"/>
  </mergeCells>
  <conditionalFormatting sqref="A38:A40">
    <cfRule type="cellIs" dxfId="1" priority="2" stopIfTrue="1" operator="equal">
      <formula>0</formula>
    </cfRule>
  </conditionalFormatting>
  <conditionalFormatting sqref="M38:M48">
    <cfRule type="cellIs" dxfId="0" priority="1" stopIfTrue="1" operator="equal">
      <formula>0</formula>
    </cfRule>
  </conditionalFormatting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2023-08-02T13:28:14Z</dcterms:created>
  <dcterms:modified xsi:type="dcterms:W3CDTF">2024-06-04T18:19:59Z</dcterms:modified>
  <cp:category/>
  <cp:contentStatus/>
</cp:coreProperties>
</file>